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"/>
    </mc:Choice>
  </mc:AlternateContent>
  <xr:revisionPtr revIDLastSave="122" documentId="8_{1F21234F-9B7E-460C-8B10-895AE87D9CB9}" xr6:coauthVersionLast="46" xr6:coauthVersionMax="46" xr10:uidLastSave="{4704D98C-1AEF-4CD9-AD68-0E5BBB4384D3}"/>
  <workbookProtection workbookAlgorithmName="SHA-512" workbookHashValue="G39iuNXgAfUdBqdRqPt10ky97sDtPp2yBo9zvaMHI0YcAXOYbL13JGiP1zEE+cFs7I+bh2aZ8V/OVQu2lOWZrA==" workbookSaltValue="yAaHcW6NkcuS1Qv1HJ6cog==" workbookSpinCount="100000" lockStructure="1"/>
  <bookViews>
    <workbookView xWindow="-28920" yWindow="-3675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  <definedName name="_xlnm.Print_Area" localSheetId="0">'Trial Pricing Calculator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Q15" i="2"/>
  <c r="K17" i="7" l="1"/>
  <c r="H13" i="1" s="1"/>
  <c r="G13" i="1" l="1"/>
  <c r="M17" i="1"/>
  <c r="D19" i="1"/>
  <c r="C19" i="1"/>
  <c r="A19" i="1"/>
  <c r="B19" i="1"/>
  <c r="K19" i="7" l="1"/>
  <c r="J18" i="1" l="1"/>
  <c r="J13" i="1"/>
  <c r="F15" i="7"/>
  <c r="K25" i="1" l="1"/>
  <c r="C11" i="7" l="1"/>
  <c r="C22" i="7" l="1"/>
  <c r="C42" i="7"/>
  <c r="F42" i="7" s="1"/>
  <c r="K16" i="7" l="1"/>
  <c r="K14" i="7"/>
  <c r="K13" i="7"/>
  <c r="K21" i="7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 s="1"/>
  <c r="N20" i="5"/>
  <c r="B20" i="5"/>
  <c r="BA19" i="5"/>
  <c r="AL19" i="5"/>
  <c r="AN19" i="5" s="1"/>
  <c r="N19" i="5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 s="1"/>
  <c r="Z13" i="5"/>
  <c r="N13" i="5"/>
  <c r="B13" i="5"/>
  <c r="BA12" i="5"/>
  <c r="AL12" i="5"/>
  <c r="AN12" i="5" s="1"/>
  <c r="Z12" i="5"/>
  <c r="N12" i="5"/>
  <c r="B12" i="5"/>
  <c r="BA11" i="5"/>
  <c r="AL11" i="5"/>
  <c r="AN11" i="5" s="1"/>
  <c r="Z11" i="5"/>
  <c r="N11" i="5"/>
  <c r="B11" i="5"/>
  <c r="BA10" i="5"/>
  <c r="AL10" i="5"/>
  <c r="AN10" i="5" s="1"/>
  <c r="Z10" i="5"/>
  <c r="N10" i="5"/>
  <c r="B10" i="5"/>
  <c r="BA9" i="5"/>
  <c r="AL9" i="5"/>
  <c r="AN9" i="5" s="1"/>
  <c r="Z9" i="5"/>
  <c r="N9" i="5"/>
  <c r="B9" i="5"/>
  <c r="BA8" i="5"/>
  <c r="AL8" i="5"/>
  <c r="AN8" i="5" s="1"/>
  <c r="Z8" i="5"/>
  <c r="N8" i="5"/>
  <c r="B8" i="5"/>
  <c r="BA7" i="5"/>
  <c r="AL7" i="5"/>
  <c r="AN7" i="5" s="1"/>
  <c r="Z7" i="5"/>
  <c r="N7" i="5"/>
  <c r="B7" i="5"/>
  <c r="BA6" i="5"/>
  <c r="AL6" i="5"/>
  <c r="AN6" i="5" s="1"/>
  <c r="Z6" i="5"/>
  <c r="N6" i="5"/>
  <c r="B6" i="5"/>
  <c r="BA5" i="5"/>
  <c r="AL5" i="5"/>
  <c r="AN5" i="5" s="1"/>
  <c r="Z5" i="5"/>
  <c r="N5" i="5"/>
  <c r="B5" i="5"/>
  <c r="BA4" i="5"/>
  <c r="AL4" i="5"/>
  <c r="AN4" i="5" s="1"/>
  <c r="Z4" i="5"/>
  <c r="N4" i="5"/>
  <c r="B4" i="5"/>
  <c r="BA3" i="5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 s="1"/>
  <c r="B27" i="4"/>
  <c r="M26" i="4"/>
  <c r="O26" i="4" s="1"/>
  <c r="B26" i="4"/>
  <c r="M25" i="4"/>
  <c r="O25" i="4" s="1"/>
  <c r="B25" i="4"/>
  <c r="M24" i="4"/>
  <c r="O24" i="4" s="1"/>
  <c r="B24" i="4"/>
  <c r="M23" i="4"/>
  <c r="O23" i="4"/>
  <c r="B23" i="4"/>
  <c r="M22" i="4"/>
  <c r="O22" i="4" s="1"/>
  <c r="B22" i="4"/>
  <c r="M21" i="4"/>
  <c r="O21" i="4" s="1"/>
  <c r="B21" i="4"/>
  <c r="M20" i="4"/>
  <c r="O20" i="4" s="1"/>
  <c r="B20" i="4"/>
  <c r="M19" i="4"/>
  <c r="O19" i="4"/>
  <c r="B19" i="4"/>
  <c r="M18" i="4"/>
  <c r="O18" i="4" s="1"/>
  <c r="B18" i="4"/>
  <c r="M17" i="4"/>
  <c r="O17" i="4" s="1"/>
  <c r="B17" i="4"/>
  <c r="M16" i="4"/>
  <c r="O16" i="4" s="1"/>
  <c r="B16" i="4"/>
  <c r="M15" i="4"/>
  <c r="O15" i="4" s="1"/>
  <c r="B15" i="4"/>
  <c r="M14" i="4"/>
  <c r="O14" i="4"/>
  <c r="B14" i="4"/>
  <c r="M13" i="4"/>
  <c r="O13" i="4" s="1"/>
  <c r="B13" i="4"/>
  <c r="M12" i="4"/>
  <c r="O12" i="4" s="1"/>
  <c r="B12" i="4"/>
  <c r="M11" i="4"/>
  <c r="O11" i="4" s="1"/>
  <c r="B11" i="4"/>
  <c r="M10" i="4"/>
  <c r="O10" i="4" s="1"/>
  <c r="B10" i="4"/>
  <c r="M9" i="4"/>
  <c r="O9" i="4" s="1"/>
  <c r="B9" i="4"/>
  <c r="M8" i="4"/>
  <c r="O8" i="4" s="1"/>
  <c r="B8" i="4"/>
  <c r="M7" i="4"/>
  <c r="O7" i="4"/>
  <c r="B7" i="4"/>
  <c r="M6" i="4"/>
  <c r="O6" i="4"/>
  <c r="B6" i="4"/>
  <c r="M5" i="4"/>
  <c r="O5" i="4" s="1"/>
  <c r="B5" i="4"/>
  <c r="M4" i="4"/>
  <c r="O4" i="4" s="1"/>
  <c r="B4" i="4"/>
  <c r="M3" i="4"/>
  <c r="O3" i="4" s="1"/>
  <c r="B3" i="4"/>
  <c r="M2" i="4"/>
  <c r="O2" i="4" s="1"/>
  <c r="B2" i="4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Q14" i="2"/>
  <c r="AB17" i="2"/>
  <c r="AB16" i="2"/>
  <c r="Q13" i="2"/>
  <c r="Q12" i="2"/>
  <c r="AB15" i="2"/>
  <c r="AB14" i="2"/>
  <c r="Q11" i="2"/>
  <c r="AB13" i="2"/>
  <c r="Q10" i="2"/>
  <c r="Q9" i="2"/>
  <c r="AB12" i="2"/>
  <c r="Q8" i="2"/>
  <c r="AB11" i="2"/>
  <c r="AB10" i="2"/>
  <c r="AB9" i="2"/>
  <c r="AB8" i="2"/>
  <c r="AB7" i="2"/>
  <c r="Q7" i="2"/>
  <c r="Q6" i="2"/>
  <c r="Q5" i="2"/>
  <c r="AB6" i="2"/>
  <c r="AB5" i="2"/>
  <c r="AB4" i="2"/>
  <c r="Q4" i="2"/>
  <c r="Q3" i="2"/>
  <c r="AB3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7" i="1" l="1"/>
  <c r="B4" i="1"/>
  <c r="A7" i="1"/>
  <c r="F41" i="7"/>
  <c r="K13" i="1"/>
  <c r="K18" i="1"/>
  <c r="I18" i="1"/>
  <c r="I13" i="1"/>
  <c r="D13" i="1"/>
  <c r="C13" i="1"/>
  <c r="A13" i="1"/>
  <c r="B13" i="1"/>
  <c r="C7" i="1"/>
  <c r="F40" i="7"/>
  <c r="F32" i="7"/>
  <c r="C4" i="1"/>
  <c r="K18" i="7"/>
  <c r="D7" i="1"/>
  <c r="F33" i="7"/>
  <c r="D16" i="1"/>
  <c r="C16" i="1"/>
  <c r="B16" i="1"/>
  <c r="A16" i="1"/>
  <c r="K22" i="1"/>
  <c r="J22" i="1" l="1"/>
  <c r="A4" i="1"/>
  <c r="F34" i="7" s="1"/>
  <c r="F39" i="7"/>
  <c r="F35" i="7"/>
  <c r="F38" i="7"/>
  <c r="I16" i="1" l="1"/>
  <c r="G10" i="1"/>
  <c r="G5" i="1" s="1"/>
  <c r="A10" i="1" s="1"/>
  <c r="H10" i="1"/>
  <c r="H5" i="1" s="1"/>
  <c r="B10" i="1" s="1"/>
  <c r="I10" i="1"/>
  <c r="G46" i="7"/>
  <c r="K30" i="7"/>
  <c r="I5" i="1" l="1"/>
  <c r="C10" i="1" s="1"/>
  <c r="K10" i="1"/>
  <c r="K16" i="1"/>
  <c r="J10" i="1"/>
  <c r="J16" i="1"/>
  <c r="J5" i="1" l="1"/>
  <c r="K5" i="1"/>
  <c r="D10" i="1" l="1"/>
  <c r="F37" i="7"/>
  <c r="K37" i="7" s="1"/>
  <c r="G45" i="7" s="1"/>
</calcChain>
</file>

<file path=xl/sharedStrings.xml><?xml version="1.0" encoding="utf-8"?>
<sst xmlns="http://schemas.openxmlformats.org/spreadsheetml/2006/main" count="1241" uniqueCount="905">
  <si>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</si>
  <si>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</si>
  <si>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</si>
  <si>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</si>
  <si>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</si>
  <si>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</si>
  <si>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</si>
  <si>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</si>
  <si>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</si>
  <si>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</si>
  <si>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</si>
  <si>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</si>
  <si>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</si>
  <si>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</si>
  <si>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</si>
  <si>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</si>
  <si>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</si>
  <si>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</si>
  <si>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</si>
  <si>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</si>
  <si>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</si>
  <si>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</si>
  <si>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</si>
  <si>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</si>
  <si>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</si>
  <si>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</si>
  <si>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</si>
  <si>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</si>
  <si>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</si>
  <si>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</si>
  <si>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</si>
  <si>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</si>
  <si>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</si>
  <si>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</si>
  <si>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</si>
  <si>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</si>
  <si>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</si>
  <si>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</si>
  <si>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</si>
  <si>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</si>
  <si>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</si>
  <si>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</si>
  <si>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</si>
  <si>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</si>
  <si>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</si>
  <si>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</si>
  <si>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</si>
  <si>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</si>
  <si>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</si>
  <si>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</si>
  <si>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</si>
  <si>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</si>
  <si>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</si>
  <si>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</si>
  <si>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</si>
  <si>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</si>
  <si>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</si>
  <si>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</si>
  <si>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</si>
  <si>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</si>
  <si>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</si>
  <si>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</si>
  <si>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</si>
  <si>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</si>
  <si>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</si>
  <si>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</si>
  <si>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</si>
  <si>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</si>
  <si>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</si>
  <si>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</si>
  <si>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</si>
  <si>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</si>
  <si>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</si>
  <si>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</si>
  <si>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</si>
  <si>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</si>
  <si>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</si>
  <si>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</si>
  <si>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</si>
  <si>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</si>
  <si>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</si>
  <si>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</si>
  <si>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</si>
  <si>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</si>
  <si>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</si>
  <si>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</si>
  <si>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</si>
  <si>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</si>
  <si>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</si>
  <si>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</si>
  <si>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</si>
  <si>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</si>
  <si>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</si>
  <si>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</si>
  <si>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</si>
  <si>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</si>
  <si>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</si>
  <si>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</si>
  <si>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</si>
  <si>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</si>
  <si>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</si>
  <si>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</si>
  <si>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</si>
  <si>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</si>
  <si>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</si>
  <si>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</si>
  <si>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</si>
  <si>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</si>
  <si>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</si>
  <si>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</si>
  <si>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</si>
  <si>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</si>
  <si>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</si>
  <si>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</si>
  <si>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</si>
  <si>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</si>
  <si>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</si>
  <si>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</si>
  <si>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</si>
  <si>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</si>
  <si>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</si>
  <si>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</si>
  <si>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</si>
  <si>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</si>
  <si>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</si>
  <si>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</si>
  <si>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</si>
  <si>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</si>
  <si>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</si>
  <si>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</si>
  <si>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</si>
  <si>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</si>
  <si>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</si>
  <si>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</si>
  <si>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</si>
  <si>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</si>
  <si>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</si>
  <si>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</si>
  <si>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</si>
  <si>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</si>
  <si>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</si>
  <si>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</si>
  <si>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</si>
  <si>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</si>
  <si>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</si>
  <si>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</si>
  <si>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</si>
  <si>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</si>
  <si>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</si>
  <si>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</si>
  <si>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</si>
  <si>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</si>
  <si>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</si>
  <si>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</si>
  <si>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</si>
  <si>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</si>
  <si>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</si>
  <si>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</si>
  <si>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</si>
  <si>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</si>
  <si>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</si>
  <si>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</si>
  <si>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</si>
  <si>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</si>
  <si>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</si>
  <si>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</si>
  <si>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</si>
  <si>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</si>
  <si>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</si>
  <si>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</si>
  <si>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</si>
  <si>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</si>
  <si>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</si>
  <si>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</si>
  <si>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</si>
  <si>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</si>
  <si>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</si>
  <si>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</si>
  <si>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</si>
  <si>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</si>
  <si>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</si>
  <si>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</si>
  <si>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</si>
  <si>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</si>
  <si>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</si>
  <si>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</si>
  <si>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</si>
  <si>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</si>
  <si>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</si>
  <si>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</si>
  <si>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</si>
  <si>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</si>
  <si>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</si>
  <si>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</si>
  <si>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</si>
  <si>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</si>
  <si>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</si>
  <si>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</si>
  <si>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</si>
  <si>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</si>
  <si>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</si>
  <si>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</si>
  <si>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</si>
  <si>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</si>
  <si>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</si>
  <si>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</si>
  <si>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</si>
  <si>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</si>
  <si>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</si>
  <si>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</si>
  <si>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</si>
  <si>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</si>
  <si>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</si>
  <si>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</si>
  <si>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</si>
  <si>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</si>
  <si>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</si>
  <si>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</si>
  <si>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</si>
  <si>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</si>
  <si>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</si>
  <si>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</si>
  <si>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</si>
  <si>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</si>
  <si>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</si>
  <si>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</si>
  <si>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</si>
  <si>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</si>
  <si>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</si>
  <si>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</si>
  <si>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</si>
  <si>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</si>
  <si>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</si>
  <si>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</si>
  <si>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</si>
  <si>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</si>
  <si>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</si>
  <si>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</si>
  <si>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</si>
  <si>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</si>
  <si>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</si>
  <si>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</si>
  <si>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</si>
  <si>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</si>
  <si>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</si>
  <si>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</si>
  <si>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</si>
  <si>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</si>
  <si>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</si>
  <si>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</si>
  <si>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</si>
  <si>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</si>
  <si>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</si>
  <si>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</si>
  <si>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</si>
  <si>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</si>
  <si>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</si>
  <si>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</si>
  <si>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</si>
  <si>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</si>
  <si>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</si>
  <si>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</si>
  <si>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</si>
  <si>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</si>
  <si>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</si>
  <si>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</si>
  <si>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</si>
  <si>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</si>
  <si>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</si>
  <si>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</si>
  <si>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</si>
  <si>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</si>
  <si>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</si>
  <si>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</si>
  <si>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</si>
  <si>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</si>
  <si>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</si>
  <si>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</si>
  <si>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</si>
  <si>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</si>
  <si>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</si>
  <si>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</si>
  <si>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</si>
  <si>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</si>
  <si>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</si>
  <si>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</si>
  <si>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</si>
  <si>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</si>
  <si>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</si>
  <si>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</si>
  <si>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</si>
  <si>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</si>
  <si>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</si>
  <si>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</si>
  <si>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</si>
  <si>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</si>
  <si>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</si>
  <si>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</si>
  <si>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</si>
  <si>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</si>
  <si>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</si>
  <si>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</si>
  <si>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</si>
  <si>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</si>
  <si>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</si>
  <si>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</si>
  <si>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</si>
  <si>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</si>
  <si>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</si>
  <si>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</si>
  <si>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</si>
  <si>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</si>
  <si>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</si>
  <si>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</si>
  <si>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</si>
  <si>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</si>
  <si>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</si>
  <si>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</si>
  <si>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</si>
  <si>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</si>
  <si>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</si>
  <si>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</si>
  <si>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</si>
  <si>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</si>
  <si>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</si>
  <si>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</si>
  <si>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</si>
  <si>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</si>
  <si>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</si>
  <si>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</si>
  <si>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</si>
  <si>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</si>
  <si>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</si>
  <si>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</si>
  <si>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</si>
  <si>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</si>
  <si>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</si>
  <si>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</si>
  <si>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</si>
  <si>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</si>
  <si>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</si>
  <si>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</si>
  <si>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</si>
  <si>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</si>
  <si>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</si>
  <si>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</si>
  <si>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</si>
  <si>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</si>
  <si>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</si>
  <si>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</si>
  <si>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</si>
  <si>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</si>
  <si>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</si>
  <si>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</si>
  <si>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</si>
  <si>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</si>
  <si>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</si>
  <si>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</si>
  <si>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</si>
  <si>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</si>
  <si>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</si>
  <si>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</si>
  <si>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</si>
  <si>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</si>
  <si>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</si>
  <si>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</si>
  <si>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</si>
  <si>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</si>
  <si>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</si>
  <si>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</si>
  <si>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</si>
  <si>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</si>
  <si>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</si>
  <si>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</si>
  <si>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</si>
  <si>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</si>
  <si>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</si>
  <si>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</si>
  <si>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</si>
  <si>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</si>
  <si>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</si>
  <si>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</si>
  <si>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</si>
  <si>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</si>
  <si>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</si>
  <si>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</si>
  <si>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</si>
  <si>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</si>
  <si>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</si>
  <si>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</si>
  <si>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</si>
  <si>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</si>
  <si>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</si>
  <si>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</si>
  <si>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</si>
  <si>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</si>
  <si>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</si>
  <si>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</si>
  <si>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</si>
  <si>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</si>
  <si>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</si>
  <si>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</si>
  <si>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</si>
  <si>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</si>
  <si>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</si>
  <si>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</si>
  <si>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</si>
  <si>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</si>
  <si>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</si>
  <si>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</si>
  <si>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</si>
  <si>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</si>
  <si>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</si>
  <si>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</si>
  <si>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</si>
  <si>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</si>
  <si>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</si>
  <si>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</si>
  <si>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</si>
  <si>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</si>
  <si>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</si>
  <si>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</si>
  <si>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</si>
  <si>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</si>
  <si>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</si>
  <si>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</si>
  <si>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</si>
  <si>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</si>
  <si>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</si>
  <si>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</si>
  <si>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</si>
  <si>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</si>
  <si>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</si>
  <si>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</si>
  <si>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</si>
  <si>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</si>
  <si>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</si>
  <si>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</si>
  <si>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</si>
  <si>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</si>
  <si>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</si>
  <si>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</si>
  <si>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</si>
  <si>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</si>
  <si>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</si>
  <si>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</si>
  <si>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</si>
  <si>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</si>
  <si>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</si>
  <si>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</si>
  <si>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</si>
  <si>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</si>
  <si>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</si>
  <si>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</si>
  <si>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</si>
  <si>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</si>
  <si>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</si>
  <si>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</si>
  <si>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</si>
  <si>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</si>
  <si>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</si>
  <si>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</si>
  <si>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</si>
  <si>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</si>
  <si>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</si>
  <si>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</si>
  <si>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</si>
  <si>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</si>
  <si>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</si>
  <si>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</si>
  <si>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</si>
  <si>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</si>
  <si>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</si>
  <si>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</si>
  <si>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</si>
  <si>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</si>
  <si>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</si>
  <si>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</si>
  <si>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</si>
  <si>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</si>
  <si>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</si>
  <si>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</si>
  <si>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</si>
  <si>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</si>
  <si>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</si>
  <si>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</si>
  <si>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</si>
  <si>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</si>
  <si>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</si>
  <si>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</si>
  <si>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</si>
  <si>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</si>
  <si>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</si>
  <si>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</si>
  <si>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</si>
  <si>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</si>
  <si>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</si>
  <si>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</si>
  <si>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</si>
  <si>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</si>
  <si>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</si>
  <si>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</si>
  <si>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</si>
  <si>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</si>
  <si>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</si>
  <si>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</si>
  <si>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</si>
  <si>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</si>
  <si>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</si>
  <si>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</si>
  <si>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</si>
  <si>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</si>
  <si>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</si>
  <si>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</si>
  <si>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</si>
  <si>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</si>
  <si>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</si>
  <si>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</si>
  <si>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</si>
  <si>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</si>
  <si>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</si>
  <si>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</si>
  <si>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</si>
  <si>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</si>
  <si>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</si>
  <si>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</si>
  <si>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</si>
  <si>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</si>
  <si>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</si>
  <si>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</si>
  <si>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</si>
  <si>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</si>
  <si>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</si>
  <si>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</si>
  <si>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</si>
  <si>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</si>
  <si>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</si>
  <si>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</si>
  <si>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</si>
  <si>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</si>
  <si>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</si>
  <si>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</si>
  <si>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</si>
  <si>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</si>
  <si>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</si>
  <si>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</si>
  <si>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</si>
  <si>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</si>
  <si>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</si>
  <si>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</si>
  <si>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</si>
  <si>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</si>
  <si>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</si>
  <si>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</si>
  <si>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</si>
  <si>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</si>
  <si>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</si>
  <si>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</si>
  <si>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</si>
  <si>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</si>
  <si>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</si>
  <si>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</si>
  <si>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</si>
  <si>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</si>
  <si>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</si>
  <si>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</si>
  <si>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</si>
  <si>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</si>
  <si>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</si>
  <si>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</si>
  <si>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</si>
  <si>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</si>
  <si>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</si>
  <si>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</si>
  <si>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</si>
  <si>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</si>
  <si>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</si>
  <si>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</si>
  <si>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</si>
  <si>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</si>
  <si>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</si>
  <si>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</si>
  <si>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</si>
  <si>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</si>
  <si>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</si>
  <si>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</si>
  <si>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</si>
  <si>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</si>
  <si>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</si>
  <si>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</si>
  <si>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</si>
  <si>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</si>
  <si>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</si>
  <si>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</si>
  <si>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</si>
  <si>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</si>
  <si>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</si>
  <si>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</si>
  <si>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</si>
  <si>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</si>
  <si>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</si>
  <si>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</si>
  <si>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</si>
  <si>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</si>
  <si>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</si>
  <si>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</si>
  <si>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</si>
  <si>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</si>
  <si>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</si>
  <si>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</si>
  <si>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</si>
  <si>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</si>
  <si>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</si>
  <si>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</si>
  <si>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</si>
  <si>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</si>
  <si>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</si>
  <si>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</si>
  <si>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</si>
  <si>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</si>
  <si>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</si>
  <si>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</si>
  <si>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</si>
  <si>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</si>
  <si>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</si>
  <si>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</si>
  <si>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</si>
  <si>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</si>
  <si>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</si>
  <si>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</si>
  <si>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</si>
  <si>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</si>
  <si>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</si>
  <si>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</si>
  <si>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</si>
  <si>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</si>
  <si>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</si>
  <si>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</si>
  <si>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</si>
  <si>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</si>
  <si>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</si>
  <si>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</si>
  <si>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</si>
  <si>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</si>
  <si>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</si>
  <si>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</si>
  <si>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</si>
  <si>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</si>
  <si>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</si>
  <si>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</si>
  <si>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</si>
  <si>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</si>
  <si>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</si>
  <si>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</si>
  <si>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</si>
  <si>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</si>
  <si>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</si>
  <si>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</si>
  <si>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</si>
  <si>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</si>
  <si>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</si>
  <si>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</si>
  <si>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</si>
  <si>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</si>
  <si>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</si>
  <si>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</si>
  <si>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</si>
  <si>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</si>
  <si>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</si>
  <si>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</si>
  <si>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</si>
  <si>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</si>
  <si>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</si>
  <si>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</si>
  <si>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</si>
  <si>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</si>
  <si>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</si>
  <si>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</si>
  <si>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</si>
  <si>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</si>
  <si>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</si>
  <si>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</si>
  <si>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</si>
  <si>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</si>
  <si>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</si>
  <si>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&gt;=700 mL</t>
  </si>
  <si>
    <t>Beer</t>
  </si>
  <si>
    <t>&lt;10,000 L</t>
  </si>
  <si>
    <t>&gt;=20,000 L</t>
  </si>
  <si>
    <t>Refreshment Beverages</t>
  </si>
  <si>
    <t>100-250 mL</t>
  </si>
  <si>
    <t>250-400 mL</t>
  </si>
  <si>
    <t>Wine</t>
  </si>
  <si>
    <t>&gt;=4,000 mL</t>
  </si>
  <si>
    <t>Fortified Wine</t>
  </si>
  <si>
    <t>Other Wine</t>
  </si>
  <si>
    <t>Manitoba Liquor &amp; Lotteries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</si>
  <si>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</si>
  <si>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</si>
  <si>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</si>
  <si>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</si>
  <si>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</si>
  <si>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</si>
  <si>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</si>
  <si>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</si>
  <si>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</si>
  <si>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</si>
  <si>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</si>
  <si>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</si>
  <si>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</si>
  <si>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</si>
  <si>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</si>
  <si>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</si>
  <si>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</si>
  <si>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</si>
  <si>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</si>
  <si>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</si>
  <si>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</si>
  <si>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</si>
  <si>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</si>
  <si>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</si>
  <si>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</si>
  <si>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</si>
  <si>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</si>
  <si>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</si>
  <si>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</si>
  <si>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</si>
  <si>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</si>
  <si>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</si>
  <si>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</si>
  <si>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</si>
  <si>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</si>
  <si>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</si>
  <si>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</si>
  <si>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</si>
  <si>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</si>
  <si>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</si>
  <si>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</si>
  <si>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</si>
  <si>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</si>
  <si>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</si>
  <si>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</si>
  <si>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</si>
  <si>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</si>
  <si>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</si>
  <si>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</si>
  <si>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</si>
  <si>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</si>
  <si>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</si>
  <si>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</si>
  <si>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</si>
  <si>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</si>
  <si>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</si>
  <si>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</si>
  <si>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</si>
  <si>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</si>
  <si>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</si>
  <si>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</si>
  <si>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</si>
  <si>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</si>
  <si>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</si>
  <si>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</si>
  <si>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</si>
  <si>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</si>
  <si>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</si>
  <si>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</si>
  <si>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</si>
  <si>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</si>
  <si>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</si>
  <si>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</si>
  <si>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</si>
  <si>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</si>
  <si>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</si>
  <si>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</si>
  <si>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</si>
  <si>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</si>
  <si>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</si>
  <si>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</si>
  <si>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</si>
  <si>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</si>
  <si>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</si>
  <si>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</si>
  <si>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</si>
  <si>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</si>
  <si>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</si>
  <si>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</si>
  <si>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</si>
  <si>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</si>
  <si>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</si>
  <si>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</si>
  <si>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</si>
  <si>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</si>
  <si>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</si>
  <si>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</si>
  <si>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</si>
  <si>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</si>
  <si>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</si>
  <si>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</si>
  <si>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</si>
  <si>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</si>
  <si>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</si>
  <si>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</si>
  <si>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</si>
  <si>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</si>
  <si>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</si>
  <si>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</si>
  <si>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</si>
  <si>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</si>
  <si>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</si>
  <si>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</si>
  <si>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</si>
  <si>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</si>
  <si>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</si>
  <si>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</si>
  <si>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</si>
  <si>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</si>
  <si>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</si>
  <si>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</si>
  <si>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</si>
  <si>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</si>
  <si>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</si>
  <si>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</si>
  <si>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</si>
  <si>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</si>
  <si>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</si>
  <si>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</si>
  <si>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</si>
  <si>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</si>
  <si>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</si>
  <si>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</si>
  <si>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</si>
  <si>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</si>
  <si>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</si>
  <si>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</si>
  <si>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</si>
  <si>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</si>
  <si>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</si>
  <si>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</si>
  <si>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</si>
  <si>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</si>
  <si>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</si>
  <si>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</si>
  <si>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</si>
  <si>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</si>
  <si>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</si>
  <si>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</si>
  <si>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</si>
  <si>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</si>
  <si>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</si>
  <si>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</si>
  <si>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</si>
  <si>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</si>
  <si>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</si>
  <si>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</si>
  <si>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</si>
  <si>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</si>
  <si>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</si>
  <si>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</si>
  <si>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</si>
  <si>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</si>
  <si>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</si>
  <si>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</si>
  <si>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</si>
  <si>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</si>
  <si>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</si>
  <si>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</si>
  <si>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</si>
  <si>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</si>
  <si>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</si>
  <si>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</si>
  <si>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</si>
  <si>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</si>
  <si>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</si>
  <si>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</si>
  <si>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</si>
  <si>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</si>
  <si>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</si>
  <si>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</si>
  <si>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</si>
  <si>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</si>
  <si>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</si>
  <si>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Trial Pricing Calculator - GIFT PACKS</t>
  </si>
  <si>
    <t>Total Add-On Cost per Case</t>
  </si>
  <si>
    <t>Final Case Cost</t>
  </si>
  <si>
    <t>Add-on Price</t>
  </si>
  <si>
    <t>Total Add-On Cost per Case cannot be higer than 49% of</t>
  </si>
  <si>
    <t xml:space="preserve">      the Final Case Cost.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</si>
  <si>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G45)</t>
    </r>
  </si>
  <si>
    <t>Set Cell: G45</t>
  </si>
  <si>
    <t xml:space="preserve">   # of Containers per Selling Unit</t>
  </si>
  <si>
    <t>Liqueur 6x50 ml</t>
  </si>
  <si>
    <t>Liqueur 20x50 ml</t>
  </si>
  <si>
    <t>MM2178</t>
  </si>
  <si>
    <t>Year, Month of PC, Update Number</t>
  </si>
  <si>
    <t>Effective January 1, 2022</t>
  </si>
  <si>
    <t>400-699 mL</t>
  </si>
  <si>
    <t>10,000-19,999 L</t>
  </si>
  <si>
    <t>100-374 mL</t>
  </si>
  <si>
    <t>375-699 mL</t>
  </si>
  <si>
    <t>700-3,999 mL</t>
  </si>
  <si>
    <t>21/01/02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</si>
  <si>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</si>
  <si>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</si>
  <si>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</si>
  <si>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used product sizes.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</si>
</sst>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1"/>
      <color rgb="FF00206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201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0" fontId="19" fillId="60" borderId="0" xfId="0" applyFont="1" applyFill="1" applyBorder="1"/>
    <xf numFmtId="0" fontId="0" fillId="60" borderId="0" xfId="0" applyFill="1" applyBorder="1"/>
    <xf numFmtId="0" fontId="20" fillId="9" borderId="0" xfId="0" applyFont="1" applyFill="1" applyBorder="1" applyAlignment="1">
      <alignment vertical="top"/>
    </xf>
    <xf numFmtId="0" fontId="0" fillId="0" borderId="12" xfId="0" applyBorder="1" applyAlignment="1">
      <alignment horizontal="left"/>
    </xf>
    <xf numFmtId="0" fontId="56" fillId="6" borderId="0" xfId="0" applyFont="1" applyFill="1" applyBorder="1"/>
    <xf numFmtId="0" fontId="11" fillId="0" borderId="0" xfId="0" applyFont="1"/>
    <xf numFmtId="2" fontId="11" fillId="0" borderId="21" xfId="0" applyNumberFormat="1" applyFont="1" applyBorder="1"/>
    <xf numFmtId="0" fontId="11" fillId="0" borderId="24" xfId="0" applyFont="1" applyBorder="1"/>
    <xf numFmtId="2" fontId="11" fillId="0" borderId="26" xfId="0" applyNumberFormat="1" applyFont="1" applyBorder="1"/>
    <xf numFmtId="0" fontId="0" fillId="61" borderId="0" xfId="0" applyFill="1"/>
    <xf numFmtId="0" fontId="4" fillId="61" borderId="0" xfId="0" applyFont="1" applyFill="1"/>
    <xf numFmtId="0" fontId="0" fillId="61" borderId="0" xfId="0" applyFont="1" applyFill="1"/>
    <xf numFmtId="49" fontId="0" fillId="61" borderId="0" xfId="0" applyNumberFormat="1" applyFill="1"/>
    <xf numFmtId="164" fontId="14" fillId="6" borderId="0" xfId="0" applyNumberFormat="1" applyFont="1" applyFill="1" applyBorder="1" applyAlignment="1">
      <alignment horizontal="right"/>
    </xf>
    <xf numFmtId="0" fontId="2" fillId="60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NumberFormat="1" applyFont="1" applyFill="1" applyBorder="1" applyAlignment="1" applyProtection="1">
      <alignment horizontal="right"/>
      <protection locked="0"/>
    </xf>
    <xf numFmtId="165" fontId="14" fillId="6" borderId="48" xfId="0" applyNumberFormat="1" applyFont="1" applyFill="1" applyBorder="1" applyAlignment="1" applyProtection="1">
      <alignment horizontal="right"/>
      <protection locked="0" hidden="1"/>
    </xf>
    <xf numFmtId="165" fontId="14" fillId="6" borderId="29" xfId="0" applyNumberFormat="1" applyFont="1" applyFill="1" applyBorder="1" applyAlignment="1" applyProtection="1">
      <alignment horizontal="right"/>
      <protection locked="0" hidden="1"/>
    </xf>
    <xf numFmtId="1" fontId="14" fillId="6" borderId="14" xfId="0" applyNumberFormat="1" applyFont="1" applyFill="1" applyBorder="1" applyAlignment="1" applyProtection="1">
      <alignment horizontal="right"/>
      <protection locked="0"/>
    </xf>
    <xf numFmtId="1" fontId="14" fillId="6" borderId="15" xfId="0" applyNumberFormat="1" applyFont="1" applyFill="1" applyBorder="1" applyAlignment="1" applyProtection="1">
      <alignment horizontal="right"/>
      <protection locked="0"/>
    </xf>
    <xf numFmtId="1" fontId="14" fillId="6" borderId="28" xfId="0" applyNumberFormat="1" applyFont="1" applyFill="1" applyBorder="1" applyAlignment="1" applyProtection="1">
      <alignment horizontal="right"/>
      <protection locked="0"/>
    </xf>
    <xf numFmtId="0" fontId="10" fillId="60" borderId="0" xfId="0" applyFont="1" applyFill="1" applyBorder="1" applyAlignment="1">
      <alignment horizontal="center" vertical="center"/>
    </xf>
    <xf numFmtId="0" fontId="10" fillId="60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4" fontId="28" fillId="0" borderId="12" xfId="0" applyNumberFormat="1" applyFont="1" applyBorder="1" applyAlignment="1">
      <alignment horizontal="right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1066800</xdr:colOff>
      <xdr:row>37</xdr:row>
      <xdr:rowOff>180975</xdr:rowOff>
    </xdr:from>
    <xdr:to>
      <xdr:col>12</xdr:col>
      <xdr:colOff>3086382</xdr:colOff>
      <xdr:row>45</xdr:row>
      <xdr:rowOff>38297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068F-ACB6-420F-9BC3-71F1A8CE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905750"/>
          <a:ext cx="2019582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59"/>
  <sheetViews>
    <sheetView showGridLines="0" showRowColHeaders="0"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hidden="1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3" customWidth="1"/>
    <col min="11" max="11" width="9.140625" style="123" hidden="1" customWidth="1"/>
    <col min="12" max="12" width="1.85546875" style="123" hidden="1" customWidth="1"/>
    <col min="13" max="13" width="66.5703125" style="123" customWidth="1"/>
    <col min="14" max="14" width="8.7109375" style="79" hidden="1" customWidth="1"/>
    <col min="15" max="15" width="9.140625" style="79" customWidth="1"/>
    <col min="16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68" t="s">
        <v>696</v>
      </c>
      <c r="C2" s="168"/>
      <c r="D2" s="168"/>
      <c r="E2" s="168"/>
      <c r="F2" s="168"/>
      <c r="G2" s="168"/>
      <c r="H2" s="168"/>
      <c r="I2" s="168"/>
      <c r="J2" s="82"/>
      <c r="K2" s="79"/>
      <c r="L2" s="79"/>
      <c r="M2" s="79"/>
      <c r="P2" s="170" t="s">
        <v>728</v>
      </c>
      <c r="Q2" s="171"/>
      <c r="R2" s="171"/>
      <c r="S2" s="171"/>
      <c r="T2" s="172"/>
      <c r="U2" s="170" t="s">
        <v>729</v>
      </c>
      <c r="V2" s="172"/>
      <c r="W2" s="30"/>
      <c r="X2" s="180" t="s">
        <v>704</v>
      </c>
      <c r="Y2" s="181"/>
      <c r="Z2" s="170" t="s">
        <v>701</v>
      </c>
      <c r="AA2" s="172"/>
      <c r="AB2" s="173" t="s">
        <v>730</v>
      </c>
      <c r="AC2" s="174"/>
      <c r="AD2" s="174"/>
      <c r="AE2" s="174"/>
      <c r="AF2" s="174"/>
      <c r="AG2" s="174"/>
      <c r="AH2" s="175"/>
      <c r="AI2" s="170" t="s">
        <v>755</v>
      </c>
      <c r="AJ2" s="172"/>
    </row>
    <row r="3" spans="1:36" ht="28.5" x14ac:dyDescent="0.45">
      <c r="A3" s="81"/>
      <c r="B3" s="169" t="s">
        <v>881</v>
      </c>
      <c r="C3" s="169"/>
      <c r="D3" s="169"/>
      <c r="E3" s="169"/>
      <c r="F3" s="169"/>
      <c r="G3" s="169"/>
      <c r="H3" s="169"/>
      <c r="I3" s="169"/>
      <c r="J3" s="82"/>
      <c r="K3" s="79"/>
      <c r="L3" s="79"/>
      <c r="M3" s="79"/>
      <c r="P3" s="31" t="s">
        <v>728</v>
      </c>
      <c r="Q3" s="32" t="s">
        <v>699</v>
      </c>
      <c r="R3" s="32" t="s">
        <v>699</v>
      </c>
      <c r="S3" s="32" t="s">
        <v>699</v>
      </c>
      <c r="T3" s="33" t="s">
        <v>699</v>
      </c>
      <c r="U3" s="105"/>
      <c r="V3" s="106"/>
      <c r="W3" s="107"/>
      <c r="X3" s="111"/>
      <c r="Y3" s="112"/>
      <c r="Z3" s="105"/>
      <c r="AA3" s="106"/>
      <c r="AB3" s="108"/>
      <c r="AC3" s="109"/>
      <c r="AD3" s="109"/>
      <c r="AE3" s="109"/>
      <c r="AF3" s="109"/>
      <c r="AG3" s="109"/>
      <c r="AH3" s="110"/>
      <c r="AI3" s="105"/>
      <c r="AJ3" s="106"/>
    </row>
    <row r="4" spans="1:36" ht="28.5" x14ac:dyDescent="0.45">
      <c r="A4" s="81"/>
      <c r="B4" s="169" t="s">
        <v>894</v>
      </c>
      <c r="C4" s="169"/>
      <c r="D4" s="169"/>
      <c r="E4" s="169"/>
      <c r="F4" s="169"/>
      <c r="G4" s="169"/>
      <c r="H4" s="169"/>
      <c r="I4" s="169"/>
      <c r="J4" s="82"/>
      <c r="K4" s="79"/>
      <c r="L4" s="79"/>
      <c r="M4" s="79"/>
      <c r="P4" s="31" t="s">
        <v>728</v>
      </c>
      <c r="Q4" s="32" t="s">
        <v>699</v>
      </c>
      <c r="R4" s="32" t="s">
        <v>699</v>
      </c>
      <c r="S4" s="32" t="s">
        <v>699</v>
      </c>
      <c r="T4" s="33" t="s">
        <v>699</v>
      </c>
      <c r="U4" s="178" t="s">
        <v>729</v>
      </c>
      <c r="V4" s="179" t="s">
        <v>731</v>
      </c>
      <c r="W4" s="177" t="s">
        <v>733</v>
      </c>
      <c r="X4" s="178" t="s">
        <v>744</v>
      </c>
      <c r="Y4" s="179" t="s">
        <v>745</v>
      </c>
      <c r="Z4" s="178" t="s">
        <v>701</v>
      </c>
      <c r="AA4" s="179" t="s">
        <v>732</v>
      </c>
      <c r="AB4" s="178" t="s">
        <v>730</v>
      </c>
      <c r="AC4" s="176" t="s">
        <v>734</v>
      </c>
      <c r="AD4" s="176" t="s">
        <v>735</v>
      </c>
      <c r="AE4" s="176" t="s">
        <v>736</v>
      </c>
      <c r="AF4" s="176" t="s">
        <v>737</v>
      </c>
      <c r="AG4" s="176" t="s">
        <v>738</v>
      </c>
      <c r="AH4" s="179" t="s">
        <v>739</v>
      </c>
      <c r="AI4" s="178" t="s">
        <v>865</v>
      </c>
      <c r="AJ4" s="179" t="s">
        <v>732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692</v>
      </c>
      <c r="Q5" s="32" t="s">
        <v>740</v>
      </c>
      <c r="R5" s="32" t="s">
        <v>692</v>
      </c>
      <c r="S5" s="32" t="s">
        <v>746</v>
      </c>
      <c r="T5" s="33" t="s">
        <v>686</v>
      </c>
      <c r="U5" s="178"/>
      <c r="V5" s="179"/>
      <c r="W5" s="177"/>
      <c r="X5" s="178"/>
      <c r="Y5" s="179"/>
      <c r="Z5" s="178"/>
      <c r="AA5" s="179"/>
      <c r="AB5" s="178"/>
      <c r="AC5" s="176"/>
      <c r="AD5" s="176"/>
      <c r="AE5" s="176"/>
      <c r="AF5" s="176"/>
      <c r="AG5" s="176"/>
      <c r="AH5" s="179"/>
      <c r="AI5" s="178"/>
      <c r="AJ5" s="179"/>
    </row>
    <row r="6" spans="1:36" ht="21" x14ac:dyDescent="0.35">
      <c r="A6" s="81"/>
      <c r="B6" s="154" t="s">
        <v>697</v>
      </c>
      <c r="C6" s="154"/>
      <c r="D6" s="154"/>
      <c r="E6" s="154"/>
      <c r="F6" s="154"/>
      <c r="G6" s="154"/>
      <c r="H6" s="154"/>
      <c r="I6" s="154"/>
      <c r="J6" s="82"/>
      <c r="K6" s="89" t="s">
        <v>849</v>
      </c>
      <c r="L6" s="134"/>
      <c r="M6" s="133" t="s">
        <v>715</v>
      </c>
      <c r="N6" s="82"/>
      <c r="P6" s="34" t="s">
        <v>740</v>
      </c>
      <c r="Q6" s="35" t="s">
        <v>747</v>
      </c>
      <c r="R6" s="35" t="s">
        <v>748</v>
      </c>
      <c r="S6" s="35" t="s">
        <v>749</v>
      </c>
      <c r="T6" s="36" t="s">
        <v>686</v>
      </c>
      <c r="U6" s="34" t="s">
        <v>750</v>
      </c>
      <c r="V6" s="36">
        <v>1</v>
      </c>
      <c r="W6" s="37" t="s">
        <v>421</v>
      </c>
      <c r="X6" s="34" t="s">
        <v>755</v>
      </c>
      <c r="Y6" s="36" t="s">
        <v>756</v>
      </c>
      <c r="Z6" s="34" t="s">
        <v>751</v>
      </c>
      <c r="AA6" s="132">
        <v>1</v>
      </c>
      <c r="AB6" s="34" t="s">
        <v>744</v>
      </c>
      <c r="AC6" s="35" t="s">
        <v>752</v>
      </c>
      <c r="AD6" s="130">
        <v>0.4</v>
      </c>
      <c r="AE6" s="35" t="s">
        <v>753</v>
      </c>
      <c r="AF6" s="130">
        <v>0.5</v>
      </c>
      <c r="AG6" s="138" t="s">
        <v>754</v>
      </c>
      <c r="AH6" s="139">
        <v>1.1100000000000001</v>
      </c>
      <c r="AI6" s="34" t="s">
        <v>686</v>
      </c>
      <c r="AJ6" s="36">
        <v>0.34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850</v>
      </c>
      <c r="L7" s="92">
        <v>1</v>
      </c>
      <c r="M7" s="93" t="s">
        <v>716</v>
      </c>
      <c r="N7" s="82"/>
      <c r="P7" s="34" t="s">
        <v>746</v>
      </c>
      <c r="Q7" s="35" t="s">
        <v>757</v>
      </c>
      <c r="R7" s="35" t="s">
        <v>758</v>
      </c>
      <c r="S7" s="35" t="s">
        <v>759</v>
      </c>
      <c r="T7" s="36"/>
      <c r="U7" s="34" t="s">
        <v>760</v>
      </c>
      <c r="V7" s="36">
        <v>2</v>
      </c>
      <c r="W7" s="37" t="s">
        <v>418</v>
      </c>
      <c r="X7" s="34" t="s">
        <v>765</v>
      </c>
      <c r="Y7" s="36"/>
      <c r="Z7" s="34" t="s">
        <v>761</v>
      </c>
      <c r="AA7" s="132">
        <v>0.95</v>
      </c>
      <c r="AB7" s="34" t="s">
        <v>762</v>
      </c>
      <c r="AC7" s="35" t="s">
        <v>763</v>
      </c>
      <c r="AD7" s="130">
        <v>0.4</v>
      </c>
      <c r="AE7" s="35" t="s">
        <v>764</v>
      </c>
      <c r="AF7" s="130">
        <v>0.66</v>
      </c>
      <c r="AG7" s="138" t="s">
        <v>858</v>
      </c>
      <c r="AH7" s="139">
        <v>0.87</v>
      </c>
      <c r="AI7" s="114" t="s">
        <v>866</v>
      </c>
      <c r="AJ7" s="115">
        <v>12.736000000000001</v>
      </c>
    </row>
    <row r="8" spans="1:36" x14ac:dyDescent="0.25">
      <c r="A8" s="81"/>
      <c r="B8" s="85"/>
      <c r="C8" s="86" t="s">
        <v>698</v>
      </c>
      <c r="D8" s="86"/>
      <c r="E8" s="86"/>
      <c r="F8" s="158"/>
      <c r="G8" s="158"/>
      <c r="H8" s="158"/>
      <c r="I8" s="85"/>
      <c r="J8" s="82"/>
      <c r="K8" s="81"/>
      <c r="L8" s="92"/>
      <c r="M8" s="94" t="s">
        <v>717</v>
      </c>
      <c r="N8" s="82"/>
      <c r="P8" s="34" t="s">
        <v>686</v>
      </c>
      <c r="Q8" s="35" t="s">
        <v>766</v>
      </c>
      <c r="R8" s="35" t="s">
        <v>780</v>
      </c>
      <c r="S8" s="35" t="s">
        <v>767</v>
      </c>
      <c r="T8" s="36"/>
      <c r="U8" s="34"/>
      <c r="V8" s="36">
        <v>3</v>
      </c>
      <c r="W8" s="37"/>
      <c r="X8" s="34"/>
      <c r="Y8" s="36"/>
      <c r="Z8" s="34" t="s">
        <v>768</v>
      </c>
      <c r="AA8" s="132">
        <v>1.45</v>
      </c>
      <c r="AB8" s="34" t="s">
        <v>745</v>
      </c>
      <c r="AC8" s="35" t="s">
        <v>769</v>
      </c>
      <c r="AD8" s="130">
        <v>0.54</v>
      </c>
      <c r="AE8" s="35" t="s">
        <v>770</v>
      </c>
      <c r="AF8" s="130">
        <v>0.66</v>
      </c>
      <c r="AG8" s="138" t="s">
        <v>771</v>
      </c>
      <c r="AH8" s="139">
        <v>1.24</v>
      </c>
      <c r="AI8" s="114" t="s">
        <v>867</v>
      </c>
      <c r="AJ8" s="115">
        <v>0.32200000000000001</v>
      </c>
    </row>
    <row r="9" spans="1:36" x14ac:dyDescent="0.25">
      <c r="A9" s="81"/>
      <c r="B9" s="85"/>
      <c r="C9" s="86" t="s">
        <v>699</v>
      </c>
      <c r="D9" s="86"/>
      <c r="E9" s="86"/>
      <c r="F9" s="158"/>
      <c r="G9" s="158"/>
      <c r="H9" s="158"/>
      <c r="I9" s="85"/>
      <c r="J9" s="82"/>
      <c r="K9" s="81"/>
      <c r="L9" s="92"/>
      <c r="M9" s="95" t="s">
        <v>718</v>
      </c>
      <c r="N9" s="82"/>
      <c r="P9" s="34"/>
      <c r="Q9" s="35" t="s">
        <v>772</v>
      </c>
      <c r="R9" s="35"/>
      <c r="S9" s="35" t="s">
        <v>873</v>
      </c>
      <c r="T9" s="36"/>
      <c r="U9" s="34"/>
      <c r="V9" s="36">
        <v>4</v>
      </c>
      <c r="W9" s="37"/>
      <c r="X9" s="34"/>
      <c r="Y9" s="36"/>
      <c r="Z9" s="34" t="s">
        <v>773</v>
      </c>
      <c r="AA9" s="132">
        <v>0.9</v>
      </c>
      <c r="AB9" s="34"/>
      <c r="AC9" s="35" t="s">
        <v>774</v>
      </c>
      <c r="AD9" s="130">
        <v>0.4</v>
      </c>
      <c r="AE9" s="35" t="s">
        <v>775</v>
      </c>
      <c r="AF9" s="130">
        <v>0.36</v>
      </c>
      <c r="AG9" s="138" t="s">
        <v>776</v>
      </c>
      <c r="AH9" s="139">
        <v>1.78</v>
      </c>
      <c r="AI9" s="34" t="s">
        <v>868</v>
      </c>
      <c r="AJ9" s="36">
        <v>0.67200000000000004</v>
      </c>
    </row>
    <row r="10" spans="1:36" x14ac:dyDescent="0.25">
      <c r="A10" s="81"/>
      <c r="B10" s="85"/>
      <c r="C10" s="86" t="s">
        <v>874</v>
      </c>
      <c r="D10" s="86"/>
      <c r="E10" s="88">
        <v>4</v>
      </c>
      <c r="F10" s="158"/>
      <c r="G10" s="158"/>
      <c r="H10" s="158"/>
      <c r="I10" s="85"/>
      <c r="J10" s="82"/>
      <c r="K10" s="81"/>
      <c r="L10" s="92"/>
      <c r="M10" s="95" t="s">
        <v>719</v>
      </c>
      <c r="N10" s="82"/>
      <c r="P10" s="34"/>
      <c r="Q10" s="35" t="s">
        <v>779</v>
      </c>
      <c r="R10" s="35"/>
      <c r="T10" s="36"/>
      <c r="U10" s="34"/>
      <c r="V10" s="36"/>
      <c r="W10" s="37"/>
      <c r="X10" s="34"/>
      <c r="Y10" s="36"/>
      <c r="Z10" s="34" t="s">
        <v>781</v>
      </c>
      <c r="AA10" s="132">
        <v>0.1</v>
      </c>
      <c r="AB10" s="34"/>
      <c r="AC10" s="35" t="s">
        <v>782</v>
      </c>
      <c r="AD10" s="130">
        <v>0.39</v>
      </c>
      <c r="AE10" s="35" t="s">
        <v>783</v>
      </c>
      <c r="AF10" s="130">
        <v>0.52</v>
      </c>
      <c r="AG10" s="138" t="s">
        <v>784</v>
      </c>
      <c r="AH10" s="139">
        <v>0.87</v>
      </c>
      <c r="AI10" s="34" t="s">
        <v>869</v>
      </c>
      <c r="AJ10" s="36">
        <v>0.32200000000000001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58"/>
      <c r="G11" s="158"/>
      <c r="H11" s="158"/>
      <c r="I11" s="85"/>
      <c r="J11" s="82"/>
      <c r="K11" s="81"/>
      <c r="L11" s="92"/>
      <c r="M11" s="95" t="s">
        <v>720</v>
      </c>
      <c r="N11" s="82"/>
      <c r="P11" s="34"/>
      <c r="Q11" s="35" t="s">
        <v>786</v>
      </c>
      <c r="R11" s="35"/>
      <c r="S11" s="35"/>
      <c r="T11" s="36"/>
      <c r="U11" s="34"/>
      <c r="V11" s="36"/>
      <c r="W11" s="37"/>
      <c r="X11" s="34"/>
      <c r="Y11" s="36"/>
      <c r="Z11" s="34" t="s">
        <v>787</v>
      </c>
      <c r="AA11" s="132">
        <v>1.7</v>
      </c>
      <c r="AB11" s="34"/>
      <c r="AC11" s="35" t="s">
        <v>788</v>
      </c>
      <c r="AD11" s="130">
        <v>0.46</v>
      </c>
      <c r="AE11" s="35" t="s">
        <v>789</v>
      </c>
      <c r="AF11" s="130">
        <v>0.59</v>
      </c>
      <c r="AG11" s="138" t="s">
        <v>790</v>
      </c>
      <c r="AH11" s="139">
        <v>0.8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2">
        <v>2</v>
      </c>
      <c r="M12" s="93" t="s">
        <v>871</v>
      </c>
      <c r="N12" s="82"/>
      <c r="P12" s="34"/>
      <c r="Q12" s="35" t="s">
        <v>791</v>
      </c>
      <c r="R12" s="35"/>
      <c r="S12" s="35"/>
      <c r="T12" s="36"/>
      <c r="U12" s="34"/>
      <c r="V12" s="36"/>
      <c r="W12" s="37"/>
      <c r="X12" s="34"/>
      <c r="Y12" s="36"/>
      <c r="Z12" s="34" t="s">
        <v>792</v>
      </c>
      <c r="AA12" s="132">
        <v>1.25</v>
      </c>
      <c r="AB12" s="34"/>
      <c r="AC12" s="35" t="s">
        <v>859</v>
      </c>
      <c r="AD12" s="130">
        <v>0.39</v>
      </c>
      <c r="AE12" s="35" t="s">
        <v>793</v>
      </c>
      <c r="AF12" s="130">
        <v>0.86</v>
      </c>
      <c r="AG12" s="138" t="s">
        <v>794</v>
      </c>
      <c r="AH12" s="139">
        <v>2.09</v>
      </c>
      <c r="AI12" s="34"/>
      <c r="AJ12" s="36"/>
    </row>
    <row r="13" spans="1:36" x14ac:dyDescent="0.25">
      <c r="A13" s="81"/>
      <c r="B13" s="85"/>
      <c r="C13" s="86" t="s">
        <v>700</v>
      </c>
      <c r="D13" s="86"/>
      <c r="E13" s="86"/>
      <c r="F13" s="159"/>
      <c r="G13" s="159"/>
      <c r="H13" s="159"/>
      <c r="I13" s="85"/>
      <c r="J13" s="82"/>
      <c r="K13" s="90">
        <f>IFERROR(F13,0)</f>
        <v>0</v>
      </c>
      <c r="L13" s="92"/>
      <c r="M13" s="95" t="s">
        <v>864</v>
      </c>
      <c r="N13" s="82"/>
      <c r="P13" s="34"/>
      <c r="Q13" s="35" t="s">
        <v>795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796</v>
      </c>
      <c r="AD13" s="130">
        <v>0.5</v>
      </c>
      <c r="AE13" s="35" t="s">
        <v>797</v>
      </c>
      <c r="AF13" s="130">
        <v>0.78</v>
      </c>
      <c r="AG13" s="138" t="s">
        <v>798</v>
      </c>
      <c r="AH13" s="139">
        <v>2.09</v>
      </c>
      <c r="AI13" s="34"/>
      <c r="AJ13" s="36"/>
    </row>
    <row r="14" spans="1:36" x14ac:dyDescent="0.25">
      <c r="A14" s="81"/>
      <c r="B14" s="85"/>
      <c r="C14" s="86" t="s">
        <v>882</v>
      </c>
      <c r="D14" s="113"/>
      <c r="E14" s="88">
        <v>5</v>
      </c>
      <c r="F14" s="163"/>
      <c r="G14" s="163"/>
      <c r="H14" s="163"/>
      <c r="I14" s="85"/>
      <c r="J14" s="82"/>
      <c r="K14" s="90">
        <f>IFERROR(VLOOKUP(F17,'Trial Pricing Calculator '!Z:AA,2,0),1)</f>
        <v>1</v>
      </c>
      <c r="L14" s="92">
        <v>3</v>
      </c>
      <c r="M14" s="93" t="s">
        <v>721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799</v>
      </c>
      <c r="AD14" s="130">
        <v>0.5</v>
      </c>
      <c r="AE14" s="35" t="s">
        <v>800</v>
      </c>
      <c r="AF14" s="130">
        <v>0.28000000000000003</v>
      </c>
      <c r="AG14" s="138" t="s">
        <v>801</v>
      </c>
      <c r="AH14" s="139">
        <v>1.28</v>
      </c>
      <c r="AI14" s="34"/>
      <c r="AJ14" s="36"/>
    </row>
    <row r="15" spans="1:36" x14ac:dyDescent="0.25">
      <c r="A15" s="81"/>
      <c r="B15" s="85"/>
      <c r="C15" s="137" t="s">
        <v>883</v>
      </c>
      <c r="D15" s="113"/>
      <c r="E15" s="85"/>
      <c r="F15" s="164">
        <f>F13+F14</f>
        <v>0</v>
      </c>
      <c r="G15" s="164"/>
      <c r="H15" s="164"/>
      <c r="I15" s="85"/>
      <c r="J15" s="82"/>
      <c r="K15" s="90">
        <f>F18*100</f>
        <v>0</v>
      </c>
      <c r="L15" s="92"/>
      <c r="M15" s="95" t="s">
        <v>722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802</v>
      </c>
      <c r="AD15" s="130">
        <v>0.69</v>
      </c>
      <c r="AE15" s="35" t="s">
        <v>803</v>
      </c>
      <c r="AF15" s="130">
        <v>0.25</v>
      </c>
      <c r="AG15" s="138" t="s">
        <v>804</v>
      </c>
      <c r="AH15" s="139">
        <v>0.71</v>
      </c>
      <c r="AI15" s="34"/>
      <c r="AJ15" s="36"/>
    </row>
    <row r="16" spans="1:36" x14ac:dyDescent="0.25">
      <c r="A16" s="81"/>
      <c r="B16" s="85"/>
      <c r="C16" s="85"/>
      <c r="D16" s="85"/>
      <c r="E16" s="85"/>
      <c r="F16" s="85"/>
      <c r="G16" s="85"/>
      <c r="H16" s="85"/>
      <c r="I16" s="85"/>
      <c r="J16" s="82"/>
      <c r="K16" s="80">
        <f>IF(F19=0,0,F19)</f>
        <v>0</v>
      </c>
      <c r="L16" s="92">
        <v>4</v>
      </c>
      <c r="M16" s="93" t="s">
        <v>855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860</v>
      </c>
      <c r="AD16" s="130">
        <v>0.18</v>
      </c>
      <c r="AE16" s="35" t="s">
        <v>806</v>
      </c>
      <c r="AF16" s="130">
        <v>1.42</v>
      </c>
      <c r="AG16" s="138" t="s">
        <v>807</v>
      </c>
      <c r="AH16" s="139">
        <v>1.08</v>
      </c>
      <c r="AI16" s="34"/>
      <c r="AJ16" s="36"/>
    </row>
    <row r="17" spans="1:36" x14ac:dyDescent="0.25">
      <c r="A17" s="81"/>
      <c r="B17" s="85"/>
      <c r="C17" s="86" t="s">
        <v>701</v>
      </c>
      <c r="D17" s="86"/>
      <c r="E17" s="86"/>
      <c r="F17" s="158"/>
      <c r="G17" s="158"/>
      <c r="H17" s="158"/>
      <c r="I17" s="85"/>
      <c r="J17" s="82"/>
      <c r="K17" s="80">
        <f>_xlfn.NUMBERVALUE(IF(F21="",F20,SUM(F20*F21)))</f>
        <v>0</v>
      </c>
      <c r="L17" s="92"/>
      <c r="M17" s="104" t="s">
        <v>856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808</v>
      </c>
      <c r="AD17" s="130">
        <v>0.18</v>
      </c>
      <c r="AE17" s="35" t="s">
        <v>809</v>
      </c>
      <c r="AF17" s="130">
        <v>0.93</v>
      </c>
      <c r="AG17" s="138" t="s">
        <v>810</v>
      </c>
      <c r="AH17" s="139">
        <v>1.64</v>
      </c>
      <c r="AI17" s="34"/>
      <c r="AJ17" s="36"/>
    </row>
    <row r="18" spans="1:36" x14ac:dyDescent="0.25">
      <c r="A18" s="81"/>
      <c r="B18" s="85"/>
      <c r="C18" s="86" t="s">
        <v>702</v>
      </c>
      <c r="D18" s="86"/>
      <c r="E18" s="86"/>
      <c r="F18" s="160"/>
      <c r="G18" s="160"/>
      <c r="H18" s="160"/>
      <c r="I18" s="85"/>
      <c r="J18" s="82"/>
      <c r="K18" s="90">
        <f>K17*1000</f>
        <v>0</v>
      </c>
      <c r="L18" s="92"/>
      <c r="M18" s="104" t="s">
        <v>857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811</v>
      </c>
      <c r="AD18" s="130">
        <v>0.3</v>
      </c>
      <c r="AE18" s="35" t="s">
        <v>812</v>
      </c>
      <c r="AF18" s="130">
        <v>0.52</v>
      </c>
      <c r="AG18" s="138" t="s">
        <v>813</v>
      </c>
      <c r="AH18" s="139">
        <v>2.4500000000000002</v>
      </c>
      <c r="AI18" s="34"/>
      <c r="AJ18" s="36"/>
    </row>
    <row r="19" spans="1:36" x14ac:dyDescent="0.25">
      <c r="A19" s="81"/>
      <c r="B19" s="85"/>
      <c r="C19" s="86" t="s">
        <v>1</v>
      </c>
      <c r="D19" s="86"/>
      <c r="E19" s="86"/>
      <c r="F19" s="158"/>
      <c r="G19" s="158"/>
      <c r="H19" s="158"/>
      <c r="I19" s="85"/>
      <c r="J19" s="82"/>
      <c r="K19" s="81">
        <f>IFERROR(IF(OR(F21="",F21=0),1,IF(F21&lt;&gt;1,F21)),1)</f>
        <v>1</v>
      </c>
      <c r="L19" s="92">
        <v>5</v>
      </c>
      <c r="M19" s="93" t="s">
        <v>885</v>
      </c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814</v>
      </c>
      <c r="AD19" s="130">
        <v>1.43</v>
      </c>
      <c r="AE19" s="35" t="s">
        <v>815</v>
      </c>
      <c r="AF19" s="130">
        <v>0.63</v>
      </c>
      <c r="AG19" s="138" t="s">
        <v>816</v>
      </c>
      <c r="AH19" s="139">
        <v>0.98</v>
      </c>
      <c r="AI19" s="34"/>
      <c r="AJ19" s="36"/>
    </row>
    <row r="20" spans="1:36" x14ac:dyDescent="0.25">
      <c r="A20" s="81"/>
      <c r="B20" s="85"/>
      <c r="C20" s="86" t="s">
        <v>862</v>
      </c>
      <c r="D20" s="86"/>
      <c r="E20" s="86"/>
      <c r="F20" s="162"/>
      <c r="G20" s="162"/>
      <c r="H20" s="162"/>
      <c r="I20" s="85"/>
      <c r="J20" s="82"/>
      <c r="K20" s="81"/>
      <c r="L20" s="92"/>
      <c r="M20" s="135" t="s">
        <v>886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817</v>
      </c>
      <c r="AD20" s="130">
        <v>0.38</v>
      </c>
      <c r="AE20" s="35" t="s">
        <v>818</v>
      </c>
      <c r="AF20" s="130">
        <v>0.35</v>
      </c>
      <c r="AG20" s="138" t="s">
        <v>819</v>
      </c>
      <c r="AH20" s="139">
        <v>1.06</v>
      </c>
      <c r="AI20" s="34"/>
      <c r="AJ20" s="36"/>
    </row>
    <row r="21" spans="1:36" x14ac:dyDescent="0.25">
      <c r="A21" s="81"/>
      <c r="B21" s="85"/>
      <c r="C21" s="99" t="s">
        <v>889</v>
      </c>
      <c r="D21" s="86"/>
      <c r="E21" s="86"/>
      <c r="F21" s="165"/>
      <c r="G21" s="166"/>
      <c r="H21" s="167"/>
      <c r="I21" s="85"/>
      <c r="J21" s="82"/>
      <c r="K21" s="96">
        <f>IF(F23="Canada",VLOOKUP(F24,'Trial Pricing Calculator '!AC:AD,2,0),IF(F23="USA",VLOOKUP(F24,'Trial Pricing Calculator '!AE:AF,2,0),IF(F23="International",VLOOKUP(F24,'Trial Pricing Calculator '!AG:AH,2,0),0)))</f>
        <v>0</v>
      </c>
      <c r="L21" s="92"/>
      <c r="M21" s="104"/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820</v>
      </c>
      <c r="AD21" s="130">
        <v>0.35</v>
      </c>
      <c r="AE21" s="35" t="s">
        <v>821</v>
      </c>
      <c r="AF21" s="130">
        <v>0.68</v>
      </c>
      <c r="AG21" s="138" t="s">
        <v>822</v>
      </c>
      <c r="AH21" s="139">
        <v>1.01</v>
      </c>
      <c r="AI21" s="34"/>
      <c r="AJ21" s="36"/>
    </row>
    <row r="22" spans="1:36" x14ac:dyDescent="0.25">
      <c r="A22" s="81"/>
      <c r="B22" s="85"/>
      <c r="C22" s="99" t="str">
        <f>IF(F8="Beer","     Container Type","")</f>
        <v/>
      </c>
      <c r="D22" s="86"/>
      <c r="E22" s="86"/>
      <c r="F22" s="161"/>
      <c r="G22" s="161"/>
      <c r="H22" s="161"/>
      <c r="I22" s="85"/>
      <c r="J22" s="82"/>
      <c r="K22" s="81"/>
      <c r="L22" s="79"/>
      <c r="M22" s="79"/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823</v>
      </c>
      <c r="AD22" s="130">
        <v>0.35</v>
      </c>
      <c r="AE22" s="35" t="s">
        <v>824</v>
      </c>
      <c r="AF22" s="130">
        <v>1.75</v>
      </c>
      <c r="AG22" s="138" t="s">
        <v>825</v>
      </c>
      <c r="AH22" s="139">
        <v>1.01</v>
      </c>
      <c r="AI22" s="34"/>
      <c r="AJ22" s="36"/>
    </row>
    <row r="23" spans="1:36" ht="15" customHeight="1" x14ac:dyDescent="0.25">
      <c r="A23" s="81"/>
      <c r="B23" s="85"/>
      <c r="C23" s="86" t="s">
        <v>703</v>
      </c>
      <c r="D23" s="86"/>
      <c r="E23" s="86"/>
      <c r="F23" s="158"/>
      <c r="G23" s="158"/>
      <c r="H23" s="158"/>
      <c r="I23" s="85"/>
      <c r="J23" s="82"/>
      <c r="K23" s="81"/>
      <c r="L23" s="134"/>
      <c r="M23" s="133" t="s">
        <v>872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861</v>
      </c>
      <c r="AD23" s="130">
        <v>0.35</v>
      </c>
      <c r="AE23" s="35" t="s">
        <v>828</v>
      </c>
      <c r="AF23" s="130">
        <v>0.63</v>
      </c>
      <c r="AG23" s="138" t="s">
        <v>829</v>
      </c>
      <c r="AH23" s="139">
        <v>0.91</v>
      </c>
      <c r="AI23" s="34"/>
      <c r="AJ23" s="36"/>
    </row>
    <row r="24" spans="1:36" x14ac:dyDescent="0.25">
      <c r="A24" s="81"/>
      <c r="B24" s="85"/>
      <c r="C24" s="86" t="s">
        <v>852</v>
      </c>
      <c r="D24" s="86"/>
      <c r="E24" s="86"/>
      <c r="F24" s="158"/>
      <c r="G24" s="158"/>
      <c r="H24" s="158"/>
      <c r="I24" s="85"/>
      <c r="J24" s="82"/>
      <c r="K24" s="81"/>
      <c r="L24" s="97"/>
      <c r="M24" s="122" t="s">
        <v>901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830</v>
      </c>
      <c r="AD24" s="130">
        <v>1.34</v>
      </c>
      <c r="AE24" s="35" t="s">
        <v>831</v>
      </c>
      <c r="AF24" s="130">
        <v>0</v>
      </c>
      <c r="AG24" s="138" t="s">
        <v>832</v>
      </c>
      <c r="AH24" s="139">
        <v>0.98</v>
      </c>
      <c r="AI24" s="34"/>
      <c r="AJ24" s="36"/>
    </row>
    <row r="25" spans="1:36" x14ac:dyDescent="0.25">
      <c r="A25" s="81"/>
      <c r="B25" s="85"/>
      <c r="C25" s="86" t="s">
        <v>704</v>
      </c>
      <c r="D25" s="88"/>
      <c r="E25" s="88">
        <v>1</v>
      </c>
      <c r="F25" s="150"/>
      <c r="G25" s="150"/>
      <c r="H25" s="150"/>
      <c r="I25" s="85"/>
      <c r="J25" s="82"/>
      <c r="K25" s="81"/>
      <c r="L25" s="97"/>
      <c r="M25" s="122" t="s">
        <v>902</v>
      </c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833</v>
      </c>
      <c r="AD25" s="130">
        <v>0</v>
      </c>
      <c r="AE25" s="35"/>
      <c r="AF25" s="130"/>
      <c r="AG25" s="138" t="s">
        <v>834</v>
      </c>
      <c r="AH25" s="139">
        <v>1.03</v>
      </c>
      <c r="AI25" s="34"/>
      <c r="AJ25" s="36"/>
    </row>
    <row r="26" spans="1:36" x14ac:dyDescent="0.25">
      <c r="B26" s="85"/>
      <c r="C26" s="113" t="s">
        <v>870</v>
      </c>
      <c r="D26" s="113"/>
      <c r="E26" s="88">
        <v>2</v>
      </c>
      <c r="F26" s="100"/>
      <c r="G26" s="151"/>
      <c r="H26" s="152"/>
      <c r="I26" s="85"/>
      <c r="J26" s="79"/>
      <c r="K26" s="81"/>
      <c r="L26" s="97"/>
      <c r="M26" s="122" t="s">
        <v>903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831</v>
      </c>
      <c r="AD26" s="130">
        <v>0</v>
      </c>
      <c r="AE26" s="35"/>
      <c r="AF26" s="130"/>
      <c r="AG26" s="138" t="s">
        <v>837</v>
      </c>
      <c r="AH26" s="139">
        <v>1.04</v>
      </c>
      <c r="AI26" s="34"/>
      <c r="AJ26" s="36"/>
    </row>
    <row r="27" spans="1:36" x14ac:dyDescent="0.25">
      <c r="A27" s="81"/>
      <c r="B27" s="85"/>
      <c r="C27" s="117"/>
      <c r="D27" s="113"/>
      <c r="E27" s="85"/>
      <c r="F27" s="155"/>
      <c r="G27" s="156"/>
      <c r="H27" s="157"/>
      <c r="I27" s="85"/>
      <c r="J27" s="82"/>
      <c r="K27" s="81"/>
      <c r="L27" s="97"/>
      <c r="M27" s="126" t="s">
        <v>904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0"/>
      <c r="AE27" s="35"/>
      <c r="AF27" s="130"/>
      <c r="AG27" s="138" t="s">
        <v>838</v>
      </c>
      <c r="AH27" s="139">
        <v>1.33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79"/>
      <c r="M28" s="79"/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0"/>
      <c r="AE28" s="35"/>
      <c r="AF28" s="130"/>
      <c r="AG28" s="138" t="s">
        <v>839</v>
      </c>
      <c r="AH28" s="139">
        <v>1.1299999999999999</v>
      </c>
      <c r="AI28" s="34"/>
      <c r="AJ28" s="36"/>
    </row>
    <row r="29" spans="1:36" ht="15.75" x14ac:dyDescent="0.25">
      <c r="A29" s="81"/>
      <c r="B29" s="84"/>
      <c r="C29" s="84"/>
      <c r="D29" s="84"/>
      <c r="E29" s="84"/>
      <c r="F29" s="84"/>
      <c r="G29" s="84"/>
      <c r="H29" s="84"/>
      <c r="I29" s="84"/>
      <c r="J29" s="82"/>
      <c r="K29" s="76" t="s">
        <v>851</v>
      </c>
      <c r="L29" s="134"/>
      <c r="M29" s="133" t="s">
        <v>723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0"/>
      <c r="AE29" s="35"/>
      <c r="AF29" s="130"/>
      <c r="AG29" s="138" t="s">
        <v>840</v>
      </c>
      <c r="AH29" s="139">
        <v>1.01</v>
      </c>
      <c r="AI29" s="34"/>
      <c r="AJ29" s="36"/>
    </row>
    <row r="30" spans="1:36" ht="21" x14ac:dyDescent="0.35">
      <c r="A30" s="81"/>
      <c r="B30" s="154" t="s">
        <v>705</v>
      </c>
      <c r="C30" s="154"/>
      <c r="D30" s="154"/>
      <c r="E30" s="154"/>
      <c r="F30" s="154"/>
      <c r="G30" s="154"/>
      <c r="H30" s="154"/>
      <c r="I30" s="154"/>
      <c r="J30" s="82"/>
      <c r="K30" s="90">
        <f>IF(F42="",SUM(F32+F33+F34+F35),SUM(F32+F33+F34+F35+F42))</f>
        <v>0</v>
      </c>
      <c r="L30" s="97"/>
      <c r="M30" s="93" t="s">
        <v>724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0"/>
      <c r="AE30" s="35"/>
      <c r="AF30" s="130"/>
      <c r="AG30" s="138" t="s">
        <v>841</v>
      </c>
      <c r="AH30" s="139">
        <v>1.27</v>
      </c>
      <c r="AI30" s="34"/>
      <c r="AJ30" s="36"/>
    </row>
    <row r="31" spans="1:36" x14ac:dyDescent="0.25">
      <c r="A31" s="81"/>
      <c r="B31" s="85"/>
      <c r="C31" s="85"/>
      <c r="D31" s="85"/>
      <c r="E31" s="85"/>
      <c r="F31" s="85"/>
      <c r="G31" s="85"/>
      <c r="H31" s="85"/>
      <c r="I31" s="85"/>
      <c r="J31" s="82"/>
      <c r="K31" s="81"/>
      <c r="L31" s="97"/>
      <c r="M31" s="93" t="s">
        <v>887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0"/>
      <c r="AE31" s="35"/>
      <c r="AF31" s="130"/>
      <c r="AG31" s="138" t="s">
        <v>842</v>
      </c>
      <c r="AH31" s="139">
        <v>0.77</v>
      </c>
      <c r="AI31" s="34"/>
      <c r="AJ31" s="36"/>
    </row>
    <row r="32" spans="1:36" x14ac:dyDescent="0.25">
      <c r="A32" s="81"/>
      <c r="B32" s="85"/>
      <c r="C32" s="86" t="s">
        <v>706</v>
      </c>
      <c r="D32" s="86"/>
      <c r="E32" s="86"/>
      <c r="F32" s="146" t="str">
        <f>IFERROR(SUM(K13/K16)*K14,"0.0000")</f>
        <v>0.0000</v>
      </c>
      <c r="G32" s="146"/>
      <c r="H32" s="146"/>
      <c r="I32" s="85"/>
      <c r="J32" s="82"/>
      <c r="K32" s="81"/>
      <c r="L32" s="97"/>
      <c r="M32" s="95" t="s">
        <v>853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0"/>
      <c r="AE32" s="35"/>
      <c r="AF32" s="130"/>
      <c r="AG32" s="138" t="s">
        <v>843</v>
      </c>
      <c r="AH32" s="139">
        <v>1.78</v>
      </c>
      <c r="AI32" s="34"/>
      <c r="AJ32" s="36"/>
    </row>
    <row r="33" spans="1:36" x14ac:dyDescent="0.25">
      <c r="A33" s="81"/>
      <c r="B33" s="85"/>
      <c r="C33" s="86" t="s">
        <v>707</v>
      </c>
      <c r="D33" s="86"/>
      <c r="E33" s="86"/>
      <c r="F33" s="146">
        <f>IFERROR(SUM(K21*K17),"0.0000")</f>
        <v>0</v>
      </c>
      <c r="G33" s="146"/>
      <c r="H33" s="146"/>
      <c r="I33" s="85"/>
      <c r="J33" s="82"/>
      <c r="K33" s="81"/>
      <c r="L33" s="97"/>
      <c r="M33" s="93" t="s">
        <v>725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0"/>
      <c r="AE33" s="35"/>
      <c r="AF33" s="130"/>
      <c r="AG33" s="138" t="s">
        <v>844</v>
      </c>
      <c r="AH33" s="139">
        <v>0.83</v>
      </c>
      <c r="AI33" s="34"/>
      <c r="AJ33" s="36"/>
    </row>
    <row r="34" spans="1:36" x14ac:dyDescent="0.25">
      <c r="A34" s="81"/>
      <c r="B34" s="85"/>
      <c r="C34" s="86" t="s">
        <v>708</v>
      </c>
      <c r="D34" s="86"/>
      <c r="E34" s="86"/>
      <c r="F34" s="146">
        <f>(IF(F8="Spirit",Calculations!A4,IF(F8="Wine",Calculations!B4,IF(F8="Refreshment Beverage",Calculations!C4,IF(F8="Beer",Calculations!D4,0)))))</f>
        <v>0</v>
      </c>
      <c r="G34" s="146"/>
      <c r="H34" s="146"/>
      <c r="I34" s="85"/>
      <c r="J34" s="82"/>
      <c r="K34" s="81"/>
      <c r="L34" s="97"/>
      <c r="M34" s="95" t="s">
        <v>888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0"/>
      <c r="AE34" s="35"/>
      <c r="AF34" s="130"/>
      <c r="AG34" s="138" t="s">
        <v>845</v>
      </c>
      <c r="AH34" s="139">
        <v>0.97</v>
      </c>
      <c r="AI34" s="34"/>
      <c r="AJ34" s="36"/>
    </row>
    <row r="35" spans="1:36" x14ac:dyDescent="0.25">
      <c r="A35" s="81"/>
      <c r="B35" s="85"/>
      <c r="C35" s="86" t="s">
        <v>709</v>
      </c>
      <c r="D35" s="86"/>
      <c r="E35" s="86"/>
      <c r="F35" s="146">
        <f>(IF(F8="Spirit",Calculations!A7,IF(F8="Wine",Calculations!B7,IF(F8="Refreshment Beverage",Calculations!C7,IF(F8="Beer",Calculations!D7,0)))))</f>
        <v>0</v>
      </c>
      <c r="G35" s="146"/>
      <c r="H35" s="146"/>
      <c r="I35" s="85"/>
      <c r="J35" s="82"/>
      <c r="K35" s="79"/>
      <c r="L35" s="97"/>
      <c r="M35" s="95" t="s">
        <v>726</v>
      </c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0"/>
      <c r="AE35" s="35"/>
      <c r="AF35" s="130"/>
      <c r="AG35" s="138" t="s">
        <v>846</v>
      </c>
      <c r="AH35" s="139">
        <v>1.84</v>
      </c>
      <c r="AI35" s="34"/>
      <c r="AJ35" s="36"/>
    </row>
    <row r="36" spans="1:36" x14ac:dyDescent="0.25">
      <c r="A36" s="81"/>
      <c r="B36" s="85"/>
      <c r="C36" s="86"/>
      <c r="D36" s="86"/>
      <c r="E36" s="86"/>
      <c r="F36" s="116"/>
      <c r="G36" s="116"/>
      <c r="H36" s="116"/>
      <c r="I36" s="85"/>
      <c r="J36" s="82"/>
      <c r="K36" s="101" t="s">
        <v>854</v>
      </c>
      <c r="L36" s="97"/>
      <c r="M36" s="95" t="s">
        <v>863</v>
      </c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1"/>
      <c r="AE36" s="70"/>
      <c r="AF36" s="131"/>
      <c r="AG36" s="140" t="s">
        <v>831</v>
      </c>
      <c r="AH36" s="141">
        <v>0</v>
      </c>
      <c r="AI36" s="70"/>
      <c r="AJ36" s="49"/>
    </row>
    <row r="37" spans="1:36" x14ac:dyDescent="0.25">
      <c r="A37" s="81"/>
      <c r="B37" s="85"/>
      <c r="C37" s="86" t="s">
        <v>710</v>
      </c>
      <c r="D37" s="86"/>
      <c r="E37" s="86"/>
      <c r="F37" s="146">
        <f>(IF(F8="Spirit",Calculations!A10,IF(F8="Wine",Calculations!B10,IF(F8="Refreshment Beverage",Calculations!C10,IF(F8="Beer",Calculations!D10,0)))))</f>
        <v>0</v>
      </c>
      <c r="G37" s="146"/>
      <c r="H37" s="146"/>
      <c r="I37" s="85"/>
      <c r="J37" s="82"/>
      <c r="K37" s="102">
        <f>IF(C42="",SUM(F32:H42),SUM(F32:H42))</f>
        <v>0</v>
      </c>
      <c r="L37" s="97"/>
      <c r="M37" s="93" t="s">
        <v>727</v>
      </c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25">
      <c r="A38" s="81"/>
      <c r="B38" s="85"/>
      <c r="C38" s="86" t="s">
        <v>711</v>
      </c>
      <c r="D38" s="86"/>
      <c r="E38" s="86"/>
      <c r="F38" s="146">
        <f>(IF(F8="Spirit",Calculations!A13,IF(F8="Wine",Calculations!B13,IF(F8="Refreshment Beverage",Calculations!C13,IF(F8="Beer",Calculations!D13,0)))))</f>
        <v>0</v>
      </c>
      <c r="G38" s="146"/>
      <c r="H38" s="146"/>
      <c r="I38" s="85"/>
      <c r="J38" s="82"/>
      <c r="K38" s="79"/>
      <c r="L38" s="97"/>
      <c r="M38" s="95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6" t="s">
        <v>847</v>
      </c>
      <c r="D39" s="86"/>
      <c r="E39" s="86"/>
      <c r="F39" s="146">
        <f>(IF(F8="Spirit",Calculations!A16,IF(F8="Wine",Calculations!B16,IF(F8="Refreshment Beverage",Calculations!C16,IF(F8="Beer",Calculations!D16,0)))))</f>
        <v>0</v>
      </c>
      <c r="G39" s="146"/>
      <c r="H39" s="146"/>
      <c r="I39" s="85"/>
      <c r="J39" s="118"/>
      <c r="K39" s="79"/>
      <c r="L39" s="97"/>
      <c r="M39" s="95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5"/>
      <c r="C40" s="86" t="s">
        <v>712</v>
      </c>
      <c r="D40" s="86"/>
      <c r="E40" s="86"/>
      <c r="F40" s="146">
        <f>(IF(F8="Spirit",Calculations!A19,IF(F8="Wine",Calculations!B19,IF(F8="Refreshment Beverage",Calculations!C19,IF(F8="Beer",Calculations!D19,0)))))</f>
        <v>0</v>
      </c>
      <c r="G40" s="146"/>
      <c r="H40" s="146"/>
      <c r="I40" s="85"/>
      <c r="J40" s="82"/>
      <c r="K40" s="79"/>
      <c r="L40" s="97"/>
      <c r="M40" s="95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x14ac:dyDescent="0.25">
      <c r="A41" s="81"/>
      <c r="B41" s="85"/>
      <c r="C41" s="86" t="s">
        <v>884</v>
      </c>
      <c r="D41" s="86"/>
      <c r="E41" s="86"/>
      <c r="F41" s="146" t="str">
        <f>IFERROR(SUM(F14/K16*K14),"0.0000")</f>
        <v>0.0000</v>
      </c>
      <c r="G41" s="146"/>
      <c r="H41" s="146"/>
      <c r="I41" s="85"/>
      <c r="J41" s="82"/>
      <c r="K41" s="79"/>
      <c r="L41" s="97"/>
      <c r="M41" s="95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85"/>
      <c r="C42" s="86" t="str">
        <f>IF(F8="Beer","MBLL Dist. Beer Extra Charge","")</f>
        <v/>
      </c>
      <c r="D42" s="86"/>
      <c r="E42" s="86"/>
      <c r="F42" s="146" t="str">
        <f>IF(C42="","",IF(F22="Can",(Calculations!J26/24*F21),IF(F22="Bottle",(Calculations!J28/24*F21),"0.0000")))</f>
        <v/>
      </c>
      <c r="G42" s="146"/>
      <c r="H42" s="146"/>
      <c r="I42" s="85"/>
      <c r="J42" s="79"/>
      <c r="K42" s="79"/>
      <c r="L42" s="97"/>
      <c r="M42" s="95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5"/>
      <c r="C43" s="85"/>
      <c r="D43" s="85"/>
      <c r="E43" s="85"/>
      <c r="F43" s="85"/>
      <c r="G43" s="85"/>
      <c r="H43" s="85"/>
      <c r="I43" s="85"/>
      <c r="L43" s="97"/>
      <c r="M43" s="95"/>
      <c r="N43" s="98"/>
      <c r="O43" s="136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x14ac:dyDescent="0.25">
      <c r="B44" s="84"/>
      <c r="C44" s="84"/>
      <c r="D44" s="84"/>
      <c r="E44" s="84"/>
      <c r="F44" s="84"/>
      <c r="G44" s="84"/>
      <c r="H44" s="84"/>
      <c r="I44" s="84"/>
      <c r="L44" s="97"/>
      <c r="M44" s="97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t="17.25" x14ac:dyDescent="0.3">
      <c r="B45" s="153" t="s">
        <v>713</v>
      </c>
      <c r="C45" s="153"/>
      <c r="D45" s="153"/>
      <c r="E45" s="153"/>
      <c r="F45" s="153"/>
      <c r="G45" s="149">
        <f>K37</f>
        <v>0</v>
      </c>
      <c r="H45" s="149"/>
      <c r="I45" s="149"/>
      <c r="L45" s="97"/>
      <c r="M45" s="97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x14ac:dyDescent="0.25">
      <c r="B46" s="147" t="s">
        <v>714</v>
      </c>
      <c r="C46" s="147"/>
      <c r="D46" s="147"/>
      <c r="E46" s="147"/>
      <c r="F46" s="147"/>
      <c r="G46" s="148">
        <f>IFERROR(IF(F8="Spirit",Calculations!G22,IF(F8="Wine",Calculations!H22,IF(F8="Refreshment Beverage",Calculations!I22,IF(F8="Beer",Calculations!J22,0)))),0)</f>
        <v>0</v>
      </c>
      <c r="H46" s="148"/>
      <c r="I46" s="148"/>
      <c r="L46" s="97"/>
      <c r="M46" s="97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x14ac:dyDescent="0.25">
      <c r="B47" s="83"/>
      <c r="C47" s="83"/>
      <c r="D47" s="83"/>
      <c r="E47" s="83"/>
      <c r="F47" s="83"/>
      <c r="G47" s="83"/>
      <c r="H47" s="83"/>
      <c r="I47" s="83"/>
      <c r="L47" s="124"/>
      <c r="M47" s="125"/>
      <c r="N47" s="200" t="s">
        <v>900</v>
      </c>
      <c r="P47" s="79" t="s">
        <v>893</v>
      </c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</sheetData>
  <sheetProtection algorithmName="SHA-512" hashValue="KCgoGDI7sMJ3hYZ4Cp7f377NcZ4kujah5CW6TMY1eKP4nYvHu7rU66MLIRTKYt9uKR1ec/kYm7ONriO2CxyM1g==" saltValue="9Ltnrd8IX0kXR7QUy8exxQ==" spinCount="100000" sheet="1" objects="1" scenarios="1" selectLockedCells="1"/>
  <mergeCells count="59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10:H10"/>
    <mergeCell ref="F18:H18"/>
    <mergeCell ref="F24:H24"/>
    <mergeCell ref="F23:H23"/>
    <mergeCell ref="F22:H22"/>
    <mergeCell ref="F20:H20"/>
    <mergeCell ref="F19:H19"/>
    <mergeCell ref="F14:H14"/>
    <mergeCell ref="F15:H15"/>
    <mergeCell ref="F21:H21"/>
    <mergeCell ref="F37:H37"/>
    <mergeCell ref="F27:H27"/>
    <mergeCell ref="F17:H17"/>
    <mergeCell ref="F13:H13"/>
    <mergeCell ref="F11:H11"/>
    <mergeCell ref="F41:H41"/>
    <mergeCell ref="B46:F46"/>
    <mergeCell ref="G46:I46"/>
    <mergeCell ref="G45:I45"/>
    <mergeCell ref="F25:H25"/>
    <mergeCell ref="G26:H26"/>
    <mergeCell ref="F35:H35"/>
    <mergeCell ref="F34:H34"/>
    <mergeCell ref="F33:H33"/>
    <mergeCell ref="F32:H32"/>
    <mergeCell ref="B45:F45"/>
    <mergeCell ref="B30:I30"/>
    <mergeCell ref="F42:H42"/>
    <mergeCell ref="F40:H40"/>
    <mergeCell ref="F39:H39"/>
    <mergeCell ref="F38:H38"/>
  </mergeCells>
  <conditionalFormatting sqref="G46:I46">
    <cfRule type="cellIs" dxfId="8" priority="2" operator="greaterThan">
      <formula>$G$45</formula>
    </cfRule>
  </conditionalFormatting>
  <conditionalFormatting sqref="H36">
    <cfRule type="expression" dxfId="7" priority="1">
      <formula>$C$36=""</formula>
    </cfRule>
  </conditionalFormatting>
  <dataValidations count="11">
    <dataValidation type="list" allowBlank="1" showInputMessage="1" showErrorMessage="1" sqref="G26:H26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20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7:H17" xr:uid="{00000000-0002-0000-0000-000004000000}">
      <formula1>$Z$6:$Z$12</formula1>
    </dataValidation>
    <dataValidation type="list" allowBlank="1" showInputMessage="1" showErrorMessage="1" sqref="F23:H23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22:H22" xr:uid="{00000000-0002-0000-0000-000008000000}">
      <formula1>IF(OR(F8="Refreshment Beverage",F8="Beer"),$W$6:$W$7,"")</formula1>
    </dataValidation>
    <dataValidation type="list" allowBlank="1" showInputMessage="1" showErrorMessage="1" sqref="F25:H25" xr:uid="{00000000-0002-0000-0000-000009000000}">
      <formula1>IF(F23="Canada",$X$6:$X$7,IF(OR(F23="USA",F23="International"),$Y$6,0))</formula1>
    </dataValidation>
    <dataValidation type="list" allowBlank="1" showInputMessage="1" showErrorMessage="1" sqref="F24:H24" xr:uid="{00000000-0002-0000-0000-00000A000000}">
      <formula1>IF($F$23="Canada",$AC$6:$AC$26,IF($F$23="USA",$AE$6:$AE$24,IF($F$23="International",$AG$6:$AG$36,"")))</formula1>
    </dataValidation>
  </dataValidation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58"/>
  <sheetViews>
    <sheetView zoomScale="90" zoomScaleNormal="90" workbookViewId="0">
      <selection activeCell="K22" sqref="K22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85" t="s">
        <v>756</v>
      </c>
      <c r="B2" s="186"/>
      <c r="C2" s="186"/>
      <c r="D2" s="187"/>
      <c r="G2" s="185" t="s">
        <v>710</v>
      </c>
      <c r="H2" s="186"/>
      <c r="I2" s="186"/>
      <c r="J2" s="186"/>
      <c r="K2" s="187"/>
    </row>
    <row r="3" spans="1:11" x14ac:dyDescent="0.25">
      <c r="A3" s="50" t="s">
        <v>740</v>
      </c>
      <c r="B3" s="51" t="s">
        <v>692</v>
      </c>
      <c r="C3" s="51" t="s">
        <v>741</v>
      </c>
      <c r="D3" s="52" t="s">
        <v>686</v>
      </c>
      <c r="G3" s="190" t="s">
        <v>740</v>
      </c>
      <c r="H3" s="188" t="s">
        <v>692</v>
      </c>
      <c r="I3" s="188" t="s">
        <v>741</v>
      </c>
      <c r="J3" s="188" t="s">
        <v>742</v>
      </c>
      <c r="K3" s="189" t="s">
        <v>743</v>
      </c>
    </row>
    <row r="4" spans="1:11" x14ac:dyDescent="0.25">
      <c r="A4" s="119">
        <f>IF(OR('Trial Pricing Calculator '!F25="",'Trial Pricing Calculator '!F25="Excise",'Trial Pricing Calculator '!F25="Duty Paid",'Trial Pricing Calculator '!G26="Yes",'Trial Pricing Calculator '!F23="Canada",'Trial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0">
        <f>IF(OR('Trial Pricing Calculator '!F25="",'Trial Pricing Calculator '!F25="Excise",'Trial Pricing Calculator '!F25="Duty Paid",'Trial Pricing Calculator '!F9="Sake",'Trial Pricing Calculator '!G26="Yes",'Trial Pricing Calculator '!F9="Sparkling Wine",'Trial Pricing Calculator '!K17&gt;2,'Trial Pricing Calculator '!K15&gt;19.9),0,IF(AND('Trial Pricing Calculator '!K15&gt;14.9),0,IF(AND('Trial Pricing Calculator '!K15&gt;=7,'Trial Pricing Calculator '!K15&lt;13.8),'Trial Pricing Calculator '!K17*0.0187,IF(AND('Trial Pricing Calculator '!K15&gt;=13.9,'Trial Pricing Calculator '!K15&lt;14.9),'Trial Pricing Calculator '!K17*0.0468,IF('Trial Pricing Calculator '!K15&lt;7,'Trial Pricing Calculator '!K17*0.0187,IF('Trial Pricing Calculator '!K15&lt;15,'Trial Pricing Calculator '!K17*0.0468,0))))))</f>
        <v>0</v>
      </c>
      <c r="C4" s="121">
        <f>IF(OR('Trial Pricing Calculator '!F25="Excise",'Trial Pricing Calculator '!F25="Duty Paid",'Trial Pricing Calculator '!F25="",'Trial Pricing Calculator '!G26="Yes"),0,IF('Trial Pricing Calculator '!F9="Cider",'Trial Pricing Calculator '!K17*0.2816,('Trial Pricing Calculator '!K15*'Trial Pricing Calculator '!K17*0.1228)*0.01))</f>
        <v>0</v>
      </c>
      <c r="D4" s="49">
        <v>0</v>
      </c>
      <c r="G4" s="190"/>
      <c r="H4" s="188"/>
      <c r="I4" s="188"/>
      <c r="J4" s="188"/>
      <c r="K4" s="189"/>
    </row>
    <row r="5" spans="1:11" x14ac:dyDescent="0.25">
      <c r="A5" s="182" t="s">
        <v>755</v>
      </c>
      <c r="B5" s="183"/>
      <c r="C5" s="183"/>
      <c r="D5" s="184"/>
      <c r="G5" s="66" t="b">
        <f>IF((G10&lt;G13),G13,G10)</f>
        <v>0</v>
      </c>
      <c r="H5" s="66" t="b">
        <f>IF((H10&lt;H13),H13,H10)</f>
        <v>0</v>
      </c>
      <c r="I5" s="66">
        <f>IF(AND('Trial Pricing Calculator '!F21=1,I10&gt;I13),I10,IF(AND('Trial Pricing Calculator '!F21=1,I13&gt;I10),I13,IF(AND('Trial Pricing Calculator '!F21&gt;1,I16&gt;I18),I16,IF(AND('Trial Pricing Calculator '!F21&gt;1,I18&gt;I16),I18,0))))</f>
        <v>0</v>
      </c>
      <c r="J5" s="66">
        <f>IF(AND('Trial Pricing Calculator '!F22="Bottle",J13&gt;J10),J13,IF(AND('Trial Pricing Calculator '!F22="Bottle",J10&gt;J13),J10,IF(AND('Trial Pricing Calculator '!F22="Can",J18&gt;J16),J18,IF(AND('Trial Pricing Calculator '!F22="Can",J16&gt;J18),J16,0))))</f>
        <v>0</v>
      </c>
      <c r="K5" s="66">
        <f>IF(AND('Trial Pricing Calculator '!F22="Bottle",K13&gt;K10),K13,IF(AND('Trial Pricing Calculator '!F22="Bottle",K10&gt;K13),K10,IF(AND('Trial Pricing Calculator '!F22="Can",K18&gt;K16),K18,IF(AND('Trial Pricing Calculator '!F22="Can",K16&gt;K18),K16,0))))</f>
        <v>0</v>
      </c>
    </row>
    <row r="6" spans="1:11" x14ac:dyDescent="0.25">
      <c r="A6" s="50" t="s">
        <v>740</v>
      </c>
      <c r="B6" s="51" t="s">
        <v>692</v>
      </c>
      <c r="C6" s="51" t="s">
        <v>741</v>
      </c>
      <c r="D6" s="52" t="s">
        <v>686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'!F25="",'Trial Pricing Calculator '!F25="Duty Paid"),0,('Trial Pricing Calculator '!K17*'Trial Pricing Calculator '!K15*'Trial Pricing Calculator '!AJ7)*0.01),"0.0000")</f>
        <v>0</v>
      </c>
      <c r="B7" s="53">
        <f>IFERROR(IF(OR('Trial Pricing Calculator '!F25="",'Trial Pricing Calculator '!F25="Duty Paid"),0,IF('Trial Pricing Calculator '!K15&lt;=7,'Trial Pricing Calculator '!K17*'Trial Pricing Calculator '!AJ10*'Trial Pricing Calculator '!K19,'Trial Pricing Calculator '!K17*'Trial Pricing Calculator '!AJ9)),0)</f>
        <v>0</v>
      </c>
      <c r="C7" s="48">
        <f>IF(OR('Trial Pricing Calculator '!F25="Duty Paid",'Trial Pricing Calculator '!F25=""),0,IF(AND('Trial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'!F25="Customs"),'Trial Pricing Calculator '!K17*'Trial Pricing Calculator '!AJ6,0))))))))</f>
        <v>0</v>
      </c>
      <c r="D7" s="49">
        <f>IFERROR(IF('Trial Pricing Calculator '!F25="Customs",'Trial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82" t="s">
        <v>710</v>
      </c>
      <c r="B8" s="183"/>
      <c r="C8" s="183"/>
      <c r="D8" s="184"/>
      <c r="G8" s="34"/>
      <c r="H8" s="35"/>
      <c r="I8" s="35" t="s">
        <v>777</v>
      </c>
      <c r="J8" s="35" t="s">
        <v>778</v>
      </c>
      <c r="K8" s="36" t="s">
        <v>778</v>
      </c>
    </row>
    <row r="9" spans="1:11" x14ac:dyDescent="0.25">
      <c r="A9" s="71" t="s">
        <v>740</v>
      </c>
      <c r="B9" s="72" t="s">
        <v>692</v>
      </c>
      <c r="C9" s="72" t="s">
        <v>741</v>
      </c>
      <c r="D9" s="73" t="s">
        <v>686</v>
      </c>
      <c r="G9" s="60" t="s">
        <v>785</v>
      </c>
      <c r="H9" s="61" t="s">
        <v>785</v>
      </c>
      <c r="I9" s="61" t="s">
        <v>785</v>
      </c>
      <c r="J9" s="61" t="s">
        <v>785</v>
      </c>
      <c r="K9" s="62" t="s">
        <v>785</v>
      </c>
    </row>
    <row r="10" spans="1:11" x14ac:dyDescent="0.25">
      <c r="A10" s="69" t="b">
        <f>G5</f>
        <v>0</v>
      </c>
      <c r="B10" s="56" t="b">
        <f t="shared" ref="B10:C10" si="0">H5</f>
        <v>0</v>
      </c>
      <c r="C10" s="70">
        <f t="shared" si="0"/>
        <v>0</v>
      </c>
      <c r="D10" s="78">
        <f>IF('Trial Pricing Calculator '!F21&gt;1,K5,J5)</f>
        <v>0</v>
      </c>
      <c r="G10" s="68">
        <f>IFERROR(IF(AND('Trial Pricing Calculator '!F10="Yes",'Trial Pricing Calculator '!F11=1),(SUM('Trial Pricing Calculator '!F32:H36)*0.5),IF(AND('Trial Pricing Calculator '!F10="Yes",'Trial Pricing Calculator '!F11=2),(SUM('Trial Pricing Calculator '!F32:H36)*0.75),IF(AND('Trial Pricing Calculator '!F10="Yes",'Trial Pricing Calculator '!F11=3),(SUM('Trial Pricing Calculator '!F32:H36)*1),IF(AND('Trial Pricing Calculator '!F10="Yes",'Trial Pricing Calculator '!F11=4),(SUM('Trial Pricing Calculator '!F32:H36)*1.25),(SUM('Trial Pricing Calculator '!F32:H36)*1.53))))),0)</f>
        <v>0</v>
      </c>
      <c r="H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I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82" t="s">
        <v>10</v>
      </c>
      <c r="B11" s="183"/>
      <c r="C11" s="183"/>
      <c r="D11" s="184"/>
      <c r="G11" s="63"/>
      <c r="H11" s="64"/>
      <c r="I11" s="64"/>
      <c r="J11" s="64"/>
      <c r="K11" s="65"/>
    </row>
    <row r="12" spans="1:11" x14ac:dyDescent="0.25">
      <c r="A12" s="50" t="s">
        <v>740</v>
      </c>
      <c r="B12" s="51" t="s">
        <v>692</v>
      </c>
      <c r="C12" s="51" t="s">
        <v>741</v>
      </c>
      <c r="D12" s="52" t="s">
        <v>686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 t="b">
        <f>IFERROR(IF(AND('Trial Pricing Calculator '!F10="Yes",OR('Trial Pricing Calculator '!F11=1,'Trial Pricing Calculator '!F11=2,'Trial Pricing Calculator '!F11=3)),VLOOKUP('Trial Pricing Calculator '!F11,'Spirit Min. Markup'!L:N,3,0)*'Trial Pricing Calculator '!K17,IF('Trial Pricing Calculator '!F21=1,VLOOKUP('Trial Pricing Calculator '!K17,'Spirit Min. Markup'!B:E,4,0),IF(AND(OR('Trial Pricing Calculator '!F9="Brandy/Cognac",'Trial Pricing Calculator '!F9="Gin",'Trial Pricing Calculator '!F9="Miscellaneous Spirit",'Trial Pricing Calculator '!F9="Rum",'Trial Pricing Calculator '!F9="Tequila",'Trial Pricing Calculator '!F9="Vodka",'Trial Pricing Calculator '!F9="Whisk(e)y"),'Trial Pricing Calculator '!F21&gt;1),VLOOKUP('Trial Pricing Calculator '!K17,'Spirit Min. Markup'!S:U,3,0),IF(AND('Trial Pricing Calculator '!F9="Liqueur",'Trial Pricing Calculator '!F21&gt;1),VLOOKUP('Trial Pricing Calculator '!K17,'Spirit Min. Markup'!AD:AF,3,0))))),0)</f>
        <v>0</v>
      </c>
      <c r="H13" s="68" t="b">
        <f>IFERROR(IF(AND('Trial Pricing Calculator '!F10="Yes",OR('Trial Pricing Calculator '!F11=1,'Trial Pricing Calculator '!F11=2,'Trial Pricing Calculator '!F11=3)),VLOOKUP('Trial Pricing Calculator '!F11,'Wine Min. Markup'!L:N,3,0)*'Trial Pricing Calculator '!K17,IF('Trial Pricing Calculator '!F21=1,VLOOKUP('Trial Pricing Calculator '!K17,'Wine Min. Markup'!B:E,4,0),IF('Trial Pricing Calculator '!F21&gt;1,VLOOKUP('Trial Pricing Calculator '!K17,'Wine Min. Markup'!S:T,2,0)))),0)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'!G21=1,VLOOKUP('Trial Pricing Calculator '!K17,'Ref. Bev. Min. Markup'!B:E,4,0),0)),0)</f>
        <v>0</v>
      </c>
      <c r="J13" s="68">
        <f>IFERROR(IF(AND('Trial Pricing Calculator '!F10="Yes",'Trial Pricing Calculator '!F22="Bottle",OR('Trial Pricing Calculator '!F11=1,'Trial Pricing Calculator '!F11=2,'Trial Pricing Calculator '!F11=3)),'Trial Pricing Calculator '!K17*VLOOKUP('Trial Pricing Calculator '!F11,'Beer Min. Markup'!BK:BM,3,0),IF('Trial Pricing Calculator '!F22="Bottle",AND('Trial Pricing Calculator '!F21=1),VLOOKUP('Trial Pricing Calculator '!K17,'Beer Min. Markup'!N:Q,4,0))),0)</f>
        <v>0</v>
      </c>
      <c r="K13" s="67">
        <f>IFERROR(IF(AND('Trial Pricing Calculator '!F10="Yes",'Trial Pricing Calculator '!F22="Bottle",'Trial Pricing Calculator '!G21&gt;1,OR('Trial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82" t="s">
        <v>847</v>
      </c>
      <c r="B14" s="183"/>
      <c r="C14" s="183"/>
      <c r="D14" s="184"/>
      <c r="G14" s="63"/>
      <c r="H14" s="64"/>
      <c r="I14" s="64" t="s">
        <v>224</v>
      </c>
      <c r="J14" s="64" t="s">
        <v>805</v>
      </c>
      <c r="K14" s="65" t="s">
        <v>805</v>
      </c>
    </row>
    <row r="15" spans="1:11" x14ac:dyDescent="0.25">
      <c r="A15" s="50" t="s">
        <v>740</v>
      </c>
      <c r="B15" s="51" t="s">
        <v>692</v>
      </c>
      <c r="C15" s="51" t="s">
        <v>741</v>
      </c>
      <c r="D15" s="52" t="s">
        <v>686</v>
      </c>
      <c r="G15" s="63"/>
      <c r="H15" s="64"/>
      <c r="I15" s="61" t="s">
        <v>785</v>
      </c>
      <c r="J15" s="61" t="s">
        <v>785</v>
      </c>
      <c r="K15" s="62" t="s">
        <v>785</v>
      </c>
    </row>
    <row r="16" spans="1:11" x14ac:dyDescent="0.25">
      <c r="A16" s="43">
        <f>IF('Trial Pricing Calculator '!F23="Canada",0,IF('Trial Pricing Calculator '!F23="USA",IF('Trial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'!F23="Canada",0,IF('Trial Pricing Calculator '!F23="USA",'Trial Pricing Calculator '!K17*0.15,'Trial Pricing Calculator '!K17*0.44))</f>
        <v>0</v>
      </c>
      <c r="C16" s="48">
        <f>IF('Trial Pricing Calculator '!F23="Canada",0,IF('Trial Pricing Calculator '!F23="USA",'Trial Pricing Calculator '!K17*0.22,'Trial Pricing Calculator '!K17*0.41))</f>
        <v>0</v>
      </c>
      <c r="D16" s="54">
        <f>IF('Trial Pricing Calculator '!F23="Canada",0,IF('Trial Pricing Calculator '!F23="USA",'Trial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3" x14ac:dyDescent="0.25">
      <c r="A17" s="182" t="s">
        <v>848</v>
      </c>
      <c r="B17" s="183"/>
      <c r="C17" s="183"/>
      <c r="D17" s="184"/>
      <c r="G17" s="63"/>
      <c r="H17" s="64"/>
      <c r="I17" s="61" t="s">
        <v>5</v>
      </c>
      <c r="J17" s="61" t="s">
        <v>5</v>
      </c>
      <c r="K17" s="62" t="s">
        <v>5</v>
      </c>
      <c r="M17">
        <f>IF(AND('Trial Pricing Calculator '!F9="Liqueur",'Trial Pricing Calculator '!F21&gt;1),VLOOKUP('Trial Pricing Calculator '!K17,'Spirit Min. Markup'!AD:AF,3,0),0)</f>
        <v>0</v>
      </c>
    </row>
    <row r="18" spans="1:13" x14ac:dyDescent="0.25">
      <c r="A18" s="50" t="s">
        <v>740</v>
      </c>
      <c r="B18" s="51" t="s">
        <v>692</v>
      </c>
      <c r="C18" s="51" t="s">
        <v>741</v>
      </c>
      <c r="D18" s="52" t="s">
        <v>686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'!G21&gt;1,VLOOKUP('Trial Pricing Calculator '!K17,'Ref. Bev. Min. Markup'!O:Q,3,0),0)),0)</f>
        <v>0</v>
      </c>
      <c r="J18" s="67">
        <f>IFERROR(IF(AND('Trial Pricing Calculator '!F10="Yes",'Trial Pricing Calculator '!F22="Can",'Trial Pricing Calculator '!F21=1,OR('Trial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'!F22="Can",'Trial Pricing Calculator '!G21&gt;1,OR('Trial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3" x14ac:dyDescent="0.25">
      <c r="A19" s="43">
        <f>IF('Trial Pricing Calculator '!F20=0.05,0.2046*'Trial Pricing Calculator '!F21,IF('Trial Pricing Calculator '!F20=0.2,0.3069*'Trial Pricing Calculator '!F21,IF('Trial Pricing Calculator '!F20=0.375,0.4092*'Trial Pricing Calculator '!F21,IF('Trial Pricing Calculator '!F20=1.14,0.2558*'Trial Pricing Calculator '!F21,IF('Trial Pricing Calculator '!F20=1.75,0.3069*'Trial Pricing Calculator '!F21,0)))))</f>
        <v>0</v>
      </c>
      <c r="B19" s="56">
        <f>IF('Trial Pricing Calculator '!F20&lt;0.75,0,IF(OR('Trial Pricing Calculator '!F20=0.75,'Trial Pricing Calculator '!K17=1),0.2558*'Trial Pricing Calculator '!F21,IF('Trial Pricing Calculator '!F20=1.5,0.5933*'Trial Pricing Calculator '!F21,IF('Trial Pricing Calculator '!F20=2,0.665*'Trial Pricing Calculator '!F21,IF('Trial Pricing Calculator '!F20=3,0.7161*'Trial Pricing Calculator '!F21,IF(OR('Trial Pricing Calculator '!F20=4,'Trial Pricing Calculator '!F20=5,'Trial Pricing Calculator '!F20=6),1.1969*'Trial Pricing Calculator '!F21,IF(OR('Trial Pricing Calculator '!F20=7,'Trial Pricing Calculator '!F20=8,'Trial Pricing Calculator '!F20=9,'Trial Pricing Calculator '!F20=10),1.555*'Trial Pricing Calculator '!F21,IF('Trial Pricing Calculator '!F20=19.5,7.0792*'Trial Pricing Calculator '!F21,IF('Trial Pricing Calculator '!F20=15,5.4526*'Trial Pricing Calculator '!F21,IF('Trial Pricing Calculator '!F20=16,5.8209*'Trial Pricing Calculator '!F21,IF('Trial Pricing Calculator '!F20=18,6.5472*'Trial Pricing Calculator '!F21,IF('Trial Pricing Calculator '!F20=19,6.9053*'Trial Pricing Calculator '!F21,IF('Trial Pricing Calculator '!F20=20,7.2735*'Trial Pricing Calculator '!F21,IF('Trial Pricing Calculator '!K17=22,7.9999*'Trial Pricing Calculator '!F21,0))))))))))))))</f>
        <v>0</v>
      </c>
      <c r="C19" s="48">
        <f>IF(AND('Trial Pricing Calculator '!F20&gt;0.049,'Trial Pricing Calculator '!F20&lt;0.401),SUM(0.0512*'Trial Pricing Calculator '!F21),IF(AND('Trial Pricing Calculator '!F20&gt;0.4,'Trial Pricing Calculator '!F20&lt;0.47),SUM(0.0614*'Trial Pricing Calculator '!F21),IF(AND('Trial Pricing Calculator '!F20&gt;0.469,'Trial Pricing Calculator '!F20&lt;0.66),SUM(0.0716*'Trial Pricing Calculator '!F21),IF(AND('Trial Pricing Calculator '!F20&gt;0.659,'Trial Pricing Calculator '!F20&lt;0.75),SUM(0.1023*'Trial Pricing Calculator '!F21),IF(AND('Trial Pricing Calculator '!F20&gt;0.749,'Trial Pricing Calculator '!F20&lt;0.9),SUM(0.1125*'Trial Pricing Calculator '!F21),IF(AND('Trial Pricing Calculator '!F20&gt;0.899,'Trial Pricing Calculator '!F20&lt;1),SUM(0.133*'Trial Pricing Calculator '!F21),IF('Trial Pricing Calculator '!F20=1,SUM(0.1432*'Trial Pricing Calculator '!F21),IF('Trial Pricing Calculator '!F20=1.14,SUM(0.1637*'Trial Pricing Calculator '!F21),IF('Trial Pricing Calculator '!F20=1.75,SUM(0.2558*'Trial Pricing Calculator '!F21),IF('Trial Pricing Calculator '!F20=2,SUM(0.2864*'Trial Pricing Calculator '!F21),IF('Trial Pricing Calculator '!F20=3,SUM(0.4297*'Trial Pricing Calculator '!F21),0)))))))))))</f>
        <v>0</v>
      </c>
      <c r="D19" s="55">
        <f>IF(AND('Trial Pricing Calculator '!F21=24,'Trial Pricing Calculator '!F22="Bottle"),0.37,IF(AND('Trial Pricing Calculator '!F21=8,'Trial Pricing Calculator '!F22="Can"),0.15,IF(AND('Trial Pricing Calculator '!F21=15,'Trial Pricing Calculator '!F22="Can"),0.14,IF(AND('Trial Pricing Calculator '!F21=20,'Trial Pricing Calculator '!F22="Can"),0.2,IF(AND('Trial Pricing Calculator '!F21=30,'Trial Pricing Calculator '!F22="Can"),0.26,IF(AND('Trial Pricing Calculator '!F21=36,'Trial Pricing Calculator '!F22="Can"),0.26,0))))))</f>
        <v>0</v>
      </c>
      <c r="G19" s="34"/>
      <c r="H19" s="35"/>
      <c r="I19" s="35"/>
      <c r="J19" s="35"/>
      <c r="K19" s="36"/>
    </row>
    <row r="20" spans="1:13" x14ac:dyDescent="0.25">
      <c r="G20" s="34"/>
      <c r="H20" s="35"/>
      <c r="I20" s="35"/>
      <c r="J20" s="35"/>
      <c r="K20" s="36"/>
    </row>
    <row r="21" spans="1:13" x14ac:dyDescent="0.25">
      <c r="G21" s="42" t="s">
        <v>826</v>
      </c>
      <c r="H21" s="41" t="s">
        <v>826</v>
      </c>
      <c r="I21" s="41" t="s">
        <v>826</v>
      </c>
      <c r="J21" s="41" t="s">
        <v>826</v>
      </c>
      <c r="K21" s="44" t="s">
        <v>827</v>
      </c>
    </row>
    <row r="22" spans="1:13" x14ac:dyDescent="0.25">
      <c r="G22" s="67">
        <f>IF(AND('Trial Pricing Calculator '!F8="Spirit",'Trial Pricing Calculator '!K18&lt;100),SUM('Trial Pricing Calculator '!K17*'Trial Pricing Calculator '!F18*SRP!E4),IF(AND('Trial Pricing Calculator '!F8="Spirit",'Trial Pricing Calculator '!K18&gt;=100,'Trial Pricing Calculator '!K18&lt;300),SUM('Trial Pricing Calculator '!K17*'Trial Pricing Calculator '!F18*SRP!E5),IF(AND('Trial Pricing Calculator '!F8="Spirit",'Trial Pricing Calculator '!K18&gt;=300,'Trial Pricing Calculator '!K18&lt;400),SUM('Trial Pricing Calculator '!K17*'Trial Pricing Calculator '!F18*SRP!E6),IF(AND('Trial Pricing Calculator '!F8="Spirit",'Trial Pricing Calculator '!K18&gt;=400,'Trial Pricing Calculator '!K18&lt;=699),SUM('Trial Pricing Calculator '!K17*'Trial Pricing Calculator '!F18*SRP!E7),IF(AND('Trial Pricing Calculator '!F8="Spirit",'Trial Pricing Calculator '!K18&gt;=700),SUM('Trial Pricing Calculator '!K17*'Trial Pricing Calculator '!F18*SRP!E8),0)))))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'!F18*SRP!E22),IF(AND('Trial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'!K18&gt;=375,'Trial Pricing Calculator '!K18&lt;=699),SUM('Trial Pricing Calculator '!K17*'Trial Pricing Calculator '!F18*SRP!E24),IF(AND('Trial Pricing Calculator '!F8="Wine",'Trial Pricing Calculator '!F9="Fortified Wine",'Trial Pricing Calculator '!K18&gt;=700),SUM('Trial Pricing Calculator '!K17*'Trial Pricing Calculator '!F18*SRP!E25),IF(AND('Trial Pricing Calculator '!F8="Wine",'Trial Pricing Calculator '!K18&lt;100),SUM('Trial Pricing Calculator '!K17*'Trial Pricing Calculator '!F18*SRP!E17),IF(AND('Trial Pricing Calculator '!F8="Wine",'Trial Pricing Calculator '!K18&gt;=100,'Trial Pricing Calculator '!K18&lt;375),SUM('Trial Pricing Calculator '!K17*'Trial Pricing Calculator '!F18*SRP!E18),IF(AND('Trial Pricing Calculator '!F8="Wine",'Trial Pricing Calculator '!K18&gt;=375,'Trial Pricing Calculator '!K18&lt;700),SUM('Trial Pricing Calculator '!K17*'Trial Pricing Calculator '!F18*SRP!E19),IF(AND('Trial Pricing Calculator '!F8="Wine",'Trial Pricing Calculator '!K18&gt;=700,'Trial Pricing Calculator '!K18&lt;=3999),SUM('Trial Pricing Calculator '!K17*'Trial Pricing Calculator '!F18*SRP!E20),IF(AND('Trial Pricing Calculator '!F8="Wine",'Trial Pricing Calculator '!K18&gt;=4000),SUM('Trial Pricing Calculator '!K17*'Trial Pricing Calculator '!F18*SRP!E21),0))))))))))</f>
        <v>0</v>
      </c>
      <c r="I22" s="67">
        <f>IF(AND('Trial Pricing Calculator '!F8="Refreshment Beverage",'Trial Pricing Calculator '!K18&lt;100),SUM('Trial Pricing Calculator '!K17*'Trial Pricing Calculator '!F18*SRP!E12),IF(AND('Trial Pricing Calculator '!F8="Refreshment Beverage",'Trial Pricing Calculator '!K18&gt;=100,'Trial Pricing Calculator '!K18&lt;250),SUM('Trial Pricing Calculator '!K17*'Trial Pricing Calculator '!F18*SRP!E13),IF(AND('Trial Pricing Calculator '!F8="Refreshment Beverage",'Trial Pricing Calculator '!K18&gt;=250,'Trial Pricing Calculator '!K18&lt;400),SUM('Trial Pricing Calculator '!K17*'Trial Pricing Calculator '!F18*SRP!E14),IF(AND('Trial Pricing Calculator '!F8="Refreshment Beverage",'Trial Pricing Calculator '!K18&gt;=400,'Trial Pricing Calculator '!K18&lt;=699),SUM('Trial Pricing Calculator '!K17*'Trial Pricing Calculator '!F18*SRP!E15),IF(AND('Trial Pricing Calculator '!F8="Refreshment Beverage",'Trial Pricing Calculator '!K18&gt;=700),SUM('Trial Pricing Calculator '!K17*'Trial Pricing Calculator '!F18*SRP!E16),0)))))</f>
        <v>0</v>
      </c>
      <c r="J22" s="67">
        <f>IF(AND('Trial Pricing Calculator '!F8="Beer",'Trial Pricing Calculator '!K18&lt;10000),SUM('Trial Pricing Calculator '!K17*'Trial Pricing Calculator '!F18*SRP!E9),IF(AND('Trial Pricing Calculator '!F8="Beer",'Trial Pricing Calculator '!K18&gt;=10000,'Trial Pricing Calculator '!K18&lt;20000),SUM('Trial Pricing Calculator '!K17*'Trial Pricing Calculator '!F18*SRP!E10),IF(AND('Trial Pricing Calculator '!F8="Beer",'Trial Pricing Calculator '!K18&lt;20000),SUM('Trial Pricing Calculator '!K17*'Trial Pricing Calculator '!F18*SRP!E11),0)))</f>
        <v>0</v>
      </c>
      <c r="K22" s="67">
        <f>IF('Trial Pricing Calculator '!K15&gt;5.5,SUM('Trial Pricing Calculator '!K17*('Trial Pricing Calculator '!K15/100)*66.085),0)</f>
        <v>0</v>
      </c>
    </row>
    <row r="23" spans="1:13" x14ac:dyDescent="0.25">
      <c r="G23" s="58"/>
      <c r="H23" s="35"/>
      <c r="I23" s="57"/>
      <c r="J23" s="35"/>
      <c r="K23" s="59"/>
    </row>
    <row r="24" spans="1:13" x14ac:dyDescent="0.25">
      <c r="G24" s="34"/>
      <c r="H24" s="35"/>
      <c r="I24" s="35"/>
      <c r="J24" s="41" t="s">
        <v>835</v>
      </c>
      <c r="K24" s="62" t="s">
        <v>836</v>
      </c>
    </row>
    <row r="25" spans="1:13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3" x14ac:dyDescent="0.25">
      <c r="G26" s="34"/>
      <c r="H26" s="35"/>
      <c r="I26" s="35"/>
      <c r="J26" s="46">
        <v>1.1000000000000001</v>
      </c>
      <c r="K26" s="36"/>
    </row>
    <row r="27" spans="1:13" x14ac:dyDescent="0.25">
      <c r="G27" s="34"/>
      <c r="H27" s="35"/>
      <c r="I27" s="35"/>
      <c r="J27" s="47" t="s">
        <v>421</v>
      </c>
      <c r="K27" s="36"/>
    </row>
    <row r="28" spans="1:13" x14ac:dyDescent="0.25">
      <c r="G28" s="34"/>
      <c r="H28" s="35"/>
      <c r="I28" s="35"/>
      <c r="J28" s="46">
        <v>1.68</v>
      </c>
      <c r="K28" s="36"/>
    </row>
    <row r="29" spans="1:13" x14ac:dyDescent="0.25">
      <c r="G29" s="34"/>
      <c r="H29" s="35"/>
      <c r="I29" s="35"/>
      <c r="J29" s="35"/>
      <c r="K29" s="36"/>
    </row>
    <row r="30" spans="1:13" x14ac:dyDescent="0.25">
      <c r="G30" s="34"/>
      <c r="H30" s="35"/>
      <c r="I30" s="35"/>
      <c r="J30" s="35"/>
      <c r="K30" s="36"/>
    </row>
    <row r="31" spans="1:13" x14ac:dyDescent="0.25">
      <c r="G31" s="34"/>
      <c r="H31" s="35"/>
      <c r="I31" s="35"/>
      <c r="J31" s="35"/>
      <c r="K31" s="36"/>
    </row>
    <row r="32" spans="1:13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1"/>
  <sheetViews>
    <sheetView workbookViewId="0"/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22" width="9.140625" style="2"/>
    <col min="23" max="23" width="18.85546875" style="2" bestFit="1" customWidth="1"/>
    <col min="24" max="24" width="13.5703125" style="2" bestFit="1" customWidth="1"/>
    <col min="25" max="25" width="11" style="2" bestFit="1" customWidth="1"/>
    <col min="26" max="33" width="9.140625" style="2"/>
    <col min="34" max="34" width="18.85546875" style="2" bestFit="1" customWidth="1"/>
    <col min="35" max="35" width="9.7109375" style="2" bestFit="1" customWidth="1"/>
    <col min="36" max="36" width="10.7109375" style="2" bestFit="1" customWidth="1"/>
    <col min="37" max="16384" width="9.140625" style="2"/>
  </cols>
  <sheetData>
    <row r="1" spans="1:37" x14ac:dyDescent="0.25">
      <c r="A1" s="1" t="s">
        <v>0</v>
      </c>
      <c r="L1" s="2" t="s">
        <v>681</v>
      </c>
      <c r="P1" s="1" t="s">
        <v>0</v>
      </c>
      <c r="Y1"/>
      <c r="Z1"/>
      <c r="AA1" s="1" t="s">
        <v>0</v>
      </c>
      <c r="AJ1"/>
    </row>
    <row r="2" spans="1:3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875</v>
      </c>
      <c r="M2" s="2" t="s">
        <v>876</v>
      </c>
      <c r="N2" s="2" t="s">
        <v>877</v>
      </c>
      <c r="P2" s="1" t="s">
        <v>1</v>
      </c>
      <c r="Q2" s="1" t="s">
        <v>2</v>
      </c>
      <c r="R2" s="1" t="s">
        <v>3</v>
      </c>
      <c r="S2" s="1" t="s">
        <v>87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/>
      <c r="AA2" s="1" t="s">
        <v>1</v>
      </c>
      <c r="AB2" s="1" t="s">
        <v>2</v>
      </c>
      <c r="AC2" s="1" t="s">
        <v>3</v>
      </c>
      <c r="AD2" s="1" t="s">
        <v>87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</row>
    <row r="3" spans="1:37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  <c r="P3">
        <v>2</v>
      </c>
      <c r="Q3" s="4">
        <f t="shared" ref="Q3:Q15" si="1">R3/1000</f>
        <v>0.2</v>
      </c>
      <c r="R3">
        <v>200</v>
      </c>
      <c r="S3" s="4">
        <v>0.4</v>
      </c>
      <c r="T3" s="2">
        <v>153</v>
      </c>
      <c r="U3">
        <v>8.0717999999999996</v>
      </c>
      <c r="V3" s="5" t="s">
        <v>90</v>
      </c>
      <c r="W3" t="s">
        <v>91</v>
      </c>
      <c r="X3" s="6">
        <v>42083</v>
      </c>
      <c r="Y3" s="6">
        <v>51501</v>
      </c>
      <c r="Z3"/>
      <c r="AA3">
        <v>2</v>
      </c>
      <c r="AB3" s="4">
        <f t="shared" ref="AB3:AB17" si="2">AC3/1000</f>
        <v>0.375</v>
      </c>
      <c r="AC3">
        <v>375</v>
      </c>
      <c r="AD3" s="4">
        <v>0.75</v>
      </c>
      <c r="AE3" s="2">
        <v>153</v>
      </c>
      <c r="AF3">
        <v>14.8307</v>
      </c>
      <c r="AG3" s="5" t="s">
        <v>88</v>
      </c>
      <c r="AH3" t="s">
        <v>89</v>
      </c>
      <c r="AI3" s="6">
        <v>42128</v>
      </c>
      <c r="AJ3" s="6">
        <v>51501</v>
      </c>
    </row>
    <row r="4" spans="1:37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  <c r="P4">
        <v>2</v>
      </c>
      <c r="Q4" s="4">
        <f t="shared" si="1"/>
        <v>0.375</v>
      </c>
      <c r="R4">
        <v>375</v>
      </c>
      <c r="S4" s="4">
        <v>0.75</v>
      </c>
      <c r="T4" s="2">
        <v>153</v>
      </c>
      <c r="U4">
        <v>14.833500000000001</v>
      </c>
      <c r="V4" s="5" t="s">
        <v>92</v>
      </c>
      <c r="W4" t="s">
        <v>93</v>
      </c>
      <c r="X4" s="6">
        <v>42128</v>
      </c>
      <c r="Y4" s="6">
        <v>51501</v>
      </c>
      <c r="Z4"/>
      <c r="AA4">
        <v>3</v>
      </c>
      <c r="AB4" s="4">
        <f t="shared" si="2"/>
        <v>0.02</v>
      </c>
      <c r="AC4">
        <v>20</v>
      </c>
      <c r="AD4" s="4">
        <v>0.06</v>
      </c>
      <c r="AE4" s="2">
        <v>153</v>
      </c>
      <c r="AF4">
        <v>1.4033</v>
      </c>
      <c r="AG4" s="5" t="s">
        <v>94</v>
      </c>
      <c r="AH4" t="s">
        <v>95</v>
      </c>
      <c r="AI4" s="6">
        <v>42128</v>
      </c>
      <c r="AJ4" s="6">
        <v>51501</v>
      </c>
      <c r="AK4"/>
    </row>
    <row r="5" spans="1:37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  <c r="P5">
        <v>3</v>
      </c>
      <c r="Q5" s="4">
        <f t="shared" si="1"/>
        <v>0.2</v>
      </c>
      <c r="R5">
        <v>200</v>
      </c>
      <c r="S5" s="4">
        <v>0.6</v>
      </c>
      <c r="T5" s="2">
        <v>153</v>
      </c>
      <c r="U5">
        <v>12.1088</v>
      </c>
      <c r="V5" s="5" t="s">
        <v>100</v>
      </c>
      <c r="W5" t="s">
        <v>101</v>
      </c>
      <c r="X5" s="6">
        <v>42128</v>
      </c>
      <c r="Y5" s="6">
        <v>51501</v>
      </c>
      <c r="Z5"/>
      <c r="AA5">
        <v>3</v>
      </c>
      <c r="AB5" s="4">
        <f t="shared" si="2"/>
        <v>0.2</v>
      </c>
      <c r="AC5">
        <v>200</v>
      </c>
      <c r="AD5" s="4">
        <v>0.60000000000000009</v>
      </c>
      <c r="AE5" s="2">
        <v>153</v>
      </c>
      <c r="AF5">
        <v>12.1088</v>
      </c>
      <c r="AG5" s="5" t="s">
        <v>96</v>
      </c>
      <c r="AH5" t="s">
        <v>97</v>
      </c>
      <c r="AI5" s="6">
        <v>42128</v>
      </c>
      <c r="AJ5" s="6">
        <v>51501</v>
      </c>
      <c r="AK5"/>
    </row>
    <row r="6" spans="1:37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  <c r="P6">
        <v>3</v>
      </c>
      <c r="Q6" s="4">
        <f t="shared" si="1"/>
        <v>0.04</v>
      </c>
      <c r="R6">
        <v>40</v>
      </c>
      <c r="S6" s="4">
        <v>0.12</v>
      </c>
      <c r="T6" s="2">
        <v>153</v>
      </c>
      <c r="U6">
        <v>2.8066</v>
      </c>
      <c r="V6" s="5" t="s">
        <v>102</v>
      </c>
      <c r="W6" t="s">
        <v>103</v>
      </c>
      <c r="X6" s="6">
        <v>42128</v>
      </c>
      <c r="Y6" s="6">
        <v>51501</v>
      </c>
      <c r="Z6"/>
      <c r="AA6">
        <v>3</v>
      </c>
      <c r="AB6" s="4">
        <f t="shared" si="2"/>
        <v>0.375</v>
      </c>
      <c r="AC6">
        <v>375</v>
      </c>
      <c r="AD6" s="4">
        <v>1.125</v>
      </c>
      <c r="AE6" s="2">
        <v>153</v>
      </c>
      <c r="AF6">
        <v>22.246500000000001</v>
      </c>
      <c r="AG6" s="5" t="s">
        <v>98</v>
      </c>
      <c r="AH6" t="s">
        <v>99</v>
      </c>
      <c r="AI6" s="6">
        <v>42128</v>
      </c>
      <c r="AJ6" s="6">
        <v>51501</v>
      </c>
      <c r="AK6"/>
    </row>
    <row r="7" spans="1:37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  <c r="P7">
        <v>3</v>
      </c>
      <c r="Q7" s="4">
        <f t="shared" si="1"/>
        <v>0.05</v>
      </c>
      <c r="R7">
        <v>50</v>
      </c>
      <c r="S7" s="4">
        <v>0.15</v>
      </c>
      <c r="T7" s="2">
        <v>153</v>
      </c>
      <c r="U7">
        <v>3.5087000000000002</v>
      </c>
      <c r="V7" s="5" t="s">
        <v>104</v>
      </c>
      <c r="W7" t="s">
        <v>105</v>
      </c>
      <c r="X7" s="6">
        <v>42128</v>
      </c>
      <c r="Y7" s="6">
        <v>51501</v>
      </c>
      <c r="Z7"/>
      <c r="AA7">
        <v>4</v>
      </c>
      <c r="AB7" s="4">
        <f t="shared" si="2"/>
        <v>0.2</v>
      </c>
      <c r="AC7">
        <v>200</v>
      </c>
      <c r="AD7" s="4">
        <v>0.8</v>
      </c>
      <c r="AE7" s="2">
        <v>153</v>
      </c>
      <c r="AF7">
        <v>16.145600000000002</v>
      </c>
      <c r="AG7" s="5" t="s">
        <v>106</v>
      </c>
      <c r="AH7" t="s">
        <v>107</v>
      </c>
      <c r="AI7" s="6">
        <v>42128</v>
      </c>
      <c r="AJ7" s="6">
        <v>51501</v>
      </c>
      <c r="AK7"/>
    </row>
    <row r="8" spans="1:37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  <c r="P8">
        <v>4</v>
      </c>
      <c r="Q8" s="4">
        <f t="shared" si="1"/>
        <v>0.2</v>
      </c>
      <c r="R8">
        <v>200</v>
      </c>
      <c r="S8" s="4">
        <v>0.8</v>
      </c>
      <c r="T8" s="2">
        <v>153</v>
      </c>
      <c r="U8">
        <v>16.145600000000002</v>
      </c>
      <c r="V8" s="5" t="s">
        <v>116</v>
      </c>
      <c r="W8" t="s">
        <v>117</v>
      </c>
      <c r="X8" s="6">
        <v>42128</v>
      </c>
      <c r="Y8" s="6">
        <v>51501</v>
      </c>
      <c r="AA8">
        <v>4</v>
      </c>
      <c r="AB8" s="4">
        <f t="shared" si="2"/>
        <v>2.5000000000000001E-2</v>
      </c>
      <c r="AC8">
        <v>25</v>
      </c>
      <c r="AD8" s="4">
        <v>0.1</v>
      </c>
      <c r="AE8" s="2">
        <v>153</v>
      </c>
      <c r="AF8">
        <v>2.3388</v>
      </c>
      <c r="AG8" s="5" t="s">
        <v>108</v>
      </c>
      <c r="AH8" t="s">
        <v>109</v>
      </c>
      <c r="AI8" s="6">
        <v>42128</v>
      </c>
      <c r="AJ8" s="6">
        <v>51501</v>
      </c>
      <c r="AK8"/>
    </row>
    <row r="9" spans="1:37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  <c r="P9">
        <v>5</v>
      </c>
      <c r="Q9" s="4">
        <f t="shared" si="1"/>
        <v>0.2</v>
      </c>
      <c r="R9">
        <v>200</v>
      </c>
      <c r="S9" s="4">
        <v>1</v>
      </c>
      <c r="T9" s="2">
        <v>153</v>
      </c>
      <c r="U9">
        <v>20.182400000000001</v>
      </c>
      <c r="V9" s="5" t="s">
        <v>120</v>
      </c>
      <c r="W9" t="s">
        <v>121</v>
      </c>
      <c r="X9" s="6">
        <v>42128</v>
      </c>
      <c r="Y9" s="6">
        <v>51501</v>
      </c>
      <c r="AA9">
        <v>4</v>
      </c>
      <c r="AB9" s="4">
        <f t="shared" si="2"/>
        <v>0.03</v>
      </c>
      <c r="AC9">
        <v>30</v>
      </c>
      <c r="AD9" s="4">
        <v>0.12</v>
      </c>
      <c r="AE9" s="2">
        <v>153</v>
      </c>
      <c r="AF9">
        <v>2.8066</v>
      </c>
      <c r="AG9" s="5" t="s">
        <v>110</v>
      </c>
      <c r="AH9" t="s">
        <v>111</v>
      </c>
      <c r="AI9" s="6">
        <v>42128</v>
      </c>
      <c r="AJ9" s="6">
        <v>51501</v>
      </c>
      <c r="AK9"/>
    </row>
    <row r="10" spans="1:37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  <c r="P10">
        <v>5</v>
      </c>
      <c r="Q10" s="4">
        <f t="shared" si="1"/>
        <v>0.05</v>
      </c>
      <c r="R10">
        <v>50</v>
      </c>
      <c r="S10" s="4">
        <v>0.25</v>
      </c>
      <c r="T10" s="2">
        <v>153</v>
      </c>
      <c r="U10">
        <v>6.2557999999999998</v>
      </c>
      <c r="V10" s="5" t="s">
        <v>122</v>
      </c>
      <c r="W10" t="s">
        <v>123</v>
      </c>
      <c r="X10" s="6">
        <v>42128</v>
      </c>
      <c r="Y10" s="6">
        <v>51501</v>
      </c>
      <c r="AA10">
        <v>4</v>
      </c>
      <c r="AB10" s="4">
        <f t="shared" si="2"/>
        <v>0.05</v>
      </c>
      <c r="AC10">
        <v>50</v>
      </c>
      <c r="AD10" s="4">
        <v>0.2</v>
      </c>
      <c r="AE10" s="2">
        <v>153</v>
      </c>
      <c r="AF10">
        <v>4.6782000000000004</v>
      </c>
      <c r="AG10" s="5" t="s">
        <v>112</v>
      </c>
      <c r="AH10" t="s">
        <v>113</v>
      </c>
      <c r="AI10" s="6">
        <v>42128</v>
      </c>
      <c r="AJ10" s="6">
        <v>51501</v>
      </c>
      <c r="AK10"/>
    </row>
    <row r="11" spans="1:37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  <c r="P11">
        <v>6</v>
      </c>
      <c r="Q11" s="4">
        <f t="shared" si="1"/>
        <v>0.05</v>
      </c>
      <c r="R11">
        <v>50</v>
      </c>
      <c r="S11" s="4">
        <v>0.3</v>
      </c>
      <c r="T11" s="2">
        <v>153</v>
      </c>
      <c r="U11">
        <v>7.0174000000000003</v>
      </c>
      <c r="V11" s="5" t="s">
        <v>126</v>
      </c>
      <c r="W11" t="s">
        <v>127</v>
      </c>
      <c r="X11" s="6">
        <v>42128</v>
      </c>
      <c r="Y11" s="6">
        <v>51501</v>
      </c>
      <c r="AA11">
        <v>4</v>
      </c>
      <c r="AB11" s="4">
        <f t="shared" si="2"/>
        <v>7.0000000000000007E-2</v>
      </c>
      <c r="AC11">
        <v>70</v>
      </c>
      <c r="AD11" s="4">
        <v>0.28000000000000003</v>
      </c>
      <c r="AE11" s="2">
        <v>153</v>
      </c>
      <c r="AF11">
        <v>6.6676000000000002</v>
      </c>
      <c r="AG11" s="5" t="s">
        <v>114</v>
      </c>
      <c r="AH11" t="s">
        <v>115</v>
      </c>
      <c r="AI11" s="6">
        <v>42128</v>
      </c>
      <c r="AJ11" s="6">
        <v>51501</v>
      </c>
      <c r="AK11"/>
    </row>
    <row r="12" spans="1:37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  <c r="P12">
        <v>10</v>
      </c>
      <c r="Q12" s="4">
        <f t="shared" si="1"/>
        <v>0.02</v>
      </c>
      <c r="R12">
        <v>20</v>
      </c>
      <c r="S12" s="4">
        <v>0.2</v>
      </c>
      <c r="T12" s="2">
        <v>153</v>
      </c>
      <c r="U12">
        <v>4.6778000000000004</v>
      </c>
      <c r="V12" s="5" t="s">
        <v>132</v>
      </c>
      <c r="W12" t="s">
        <v>133</v>
      </c>
      <c r="X12" s="6">
        <v>42128</v>
      </c>
      <c r="Y12" s="6">
        <v>51501</v>
      </c>
      <c r="AA12">
        <v>5</v>
      </c>
      <c r="AB12" s="4">
        <f t="shared" si="2"/>
        <v>0.05</v>
      </c>
      <c r="AC12">
        <v>50</v>
      </c>
      <c r="AD12" s="4">
        <v>0.25</v>
      </c>
      <c r="AE12" s="2">
        <v>153</v>
      </c>
      <c r="AF12">
        <v>5.8476999999999997</v>
      </c>
      <c r="AG12" s="5" t="s">
        <v>118</v>
      </c>
      <c r="AH12" t="s">
        <v>119</v>
      </c>
      <c r="AI12" s="6">
        <v>42128</v>
      </c>
      <c r="AJ12" s="6">
        <v>51501</v>
      </c>
      <c r="AK12" s="1"/>
    </row>
    <row r="13" spans="1:37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  <c r="P13">
        <v>10</v>
      </c>
      <c r="Q13" s="4">
        <f t="shared" si="1"/>
        <v>0.05</v>
      </c>
      <c r="R13">
        <v>50</v>
      </c>
      <c r="S13" s="4">
        <v>0.5</v>
      </c>
      <c r="T13" s="2">
        <v>153</v>
      </c>
      <c r="U13">
        <v>11.6952</v>
      </c>
      <c r="V13" s="5" t="s">
        <v>134</v>
      </c>
      <c r="W13" t="s">
        <v>135</v>
      </c>
      <c r="X13" s="6">
        <v>42128</v>
      </c>
      <c r="Y13" s="6">
        <v>51501</v>
      </c>
      <c r="AA13">
        <v>6</v>
      </c>
      <c r="AB13" s="4">
        <f t="shared" si="2"/>
        <v>0.03</v>
      </c>
      <c r="AC13">
        <v>30</v>
      </c>
      <c r="AD13" s="4">
        <v>0.18</v>
      </c>
      <c r="AE13" s="2">
        <v>153</v>
      </c>
      <c r="AF13">
        <v>4.21</v>
      </c>
      <c r="AG13" s="5" t="s">
        <v>124</v>
      </c>
      <c r="AH13" t="s">
        <v>125</v>
      </c>
      <c r="AI13" s="6">
        <v>42128</v>
      </c>
      <c r="AJ13" s="6">
        <v>51501</v>
      </c>
    </row>
    <row r="14" spans="1:37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  <c r="P14">
        <v>25</v>
      </c>
      <c r="Q14" s="4">
        <f t="shared" si="1"/>
        <v>0.05</v>
      </c>
      <c r="R14">
        <v>50</v>
      </c>
      <c r="S14" s="4">
        <v>1.25</v>
      </c>
      <c r="T14" s="2">
        <v>153</v>
      </c>
      <c r="U14">
        <v>29.237400000000001</v>
      </c>
      <c r="V14" s="5" t="s">
        <v>140</v>
      </c>
      <c r="W14" t="s">
        <v>141</v>
      </c>
      <c r="X14" s="6">
        <v>42205</v>
      </c>
      <c r="Y14" s="6">
        <v>51501</v>
      </c>
      <c r="AA14">
        <v>10</v>
      </c>
      <c r="AB14" s="4">
        <f t="shared" si="2"/>
        <v>0.02</v>
      </c>
      <c r="AC14">
        <v>20</v>
      </c>
      <c r="AD14" s="4">
        <v>0.2</v>
      </c>
      <c r="AE14" s="2">
        <v>153</v>
      </c>
      <c r="AF14">
        <v>4.6776999999999997</v>
      </c>
      <c r="AG14" s="5" t="s">
        <v>128</v>
      </c>
      <c r="AH14" t="s">
        <v>129</v>
      </c>
      <c r="AI14" s="6">
        <v>42128</v>
      </c>
      <c r="AJ14" s="6">
        <v>51501</v>
      </c>
    </row>
    <row r="15" spans="1:37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  <c r="P15" s="142">
        <v>20</v>
      </c>
      <c r="Q15" s="143">
        <f t="shared" si="1"/>
        <v>0.05</v>
      </c>
      <c r="R15" s="142">
        <v>50</v>
      </c>
      <c r="S15" s="143">
        <v>1</v>
      </c>
      <c r="T15" s="144">
        <v>153</v>
      </c>
      <c r="U15" s="142">
        <v>29.3904</v>
      </c>
      <c r="V15" s="145" t="s">
        <v>892</v>
      </c>
      <c r="W15" s="142" t="s">
        <v>141</v>
      </c>
      <c r="AA15">
        <v>10</v>
      </c>
      <c r="AB15" s="4">
        <f t="shared" si="2"/>
        <v>0.05</v>
      </c>
      <c r="AC15">
        <v>50</v>
      </c>
      <c r="AD15" s="4">
        <v>0.5</v>
      </c>
      <c r="AE15" s="2">
        <v>153</v>
      </c>
      <c r="AF15">
        <v>11.6952</v>
      </c>
      <c r="AG15" s="5" t="s">
        <v>130</v>
      </c>
      <c r="AH15" t="s">
        <v>131</v>
      </c>
      <c r="AI15" s="6">
        <v>42128</v>
      </c>
      <c r="AJ15" s="6">
        <v>51501</v>
      </c>
    </row>
    <row r="16" spans="1:37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  <c r="AA16">
        <v>12</v>
      </c>
      <c r="AB16" s="4">
        <f t="shared" si="2"/>
        <v>0.03</v>
      </c>
      <c r="AC16">
        <v>30</v>
      </c>
      <c r="AD16" s="4">
        <v>0.36</v>
      </c>
      <c r="AE16" s="2">
        <v>153</v>
      </c>
      <c r="AF16">
        <v>8.42</v>
      </c>
      <c r="AG16" s="5" t="s">
        <v>136</v>
      </c>
      <c r="AH16" t="s">
        <v>137</v>
      </c>
      <c r="AI16" s="6">
        <v>42128</v>
      </c>
      <c r="AJ16" s="6">
        <v>51501</v>
      </c>
    </row>
    <row r="17" spans="1:36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  <c r="AA17">
        <v>24</v>
      </c>
      <c r="AB17" s="4">
        <f t="shared" si="2"/>
        <v>0.03</v>
      </c>
      <c r="AC17">
        <v>30</v>
      </c>
      <c r="AD17" s="4">
        <v>0.72</v>
      </c>
      <c r="AE17" s="2">
        <v>153</v>
      </c>
      <c r="AF17">
        <v>16.8354</v>
      </c>
      <c r="AG17" s="5" t="s">
        <v>138</v>
      </c>
      <c r="AH17" t="s">
        <v>139</v>
      </c>
      <c r="AI17" s="6">
        <v>42087</v>
      </c>
      <c r="AJ17" s="6">
        <v>51501</v>
      </c>
    </row>
    <row r="18" spans="1:36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  <c r="AA18" s="142">
        <v>6</v>
      </c>
      <c r="AB18" s="143">
        <v>0.05</v>
      </c>
      <c r="AC18" s="142">
        <v>50</v>
      </c>
      <c r="AD18" s="143">
        <v>0.3</v>
      </c>
      <c r="AE18" s="144">
        <v>153</v>
      </c>
      <c r="AF18" s="142">
        <v>7.0174000000000003</v>
      </c>
      <c r="AG18" s="145" t="s">
        <v>126</v>
      </c>
      <c r="AH18" s="142" t="s">
        <v>890</v>
      </c>
    </row>
    <row r="19" spans="1:36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  <c r="AA19" s="142">
        <v>20</v>
      </c>
      <c r="AB19" s="143">
        <v>0.05</v>
      </c>
      <c r="AC19" s="142">
        <v>50</v>
      </c>
      <c r="AD19" s="143">
        <v>1</v>
      </c>
      <c r="AE19" s="144">
        <v>153</v>
      </c>
      <c r="AF19" s="142">
        <v>23.3904</v>
      </c>
      <c r="AG19" s="145" t="s">
        <v>892</v>
      </c>
      <c r="AH19" s="142" t="s">
        <v>891</v>
      </c>
    </row>
    <row r="20" spans="1:36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  <c r="AA20">
        <v>2</v>
      </c>
      <c r="AB20">
        <v>0.2</v>
      </c>
      <c r="AC20">
        <v>200</v>
      </c>
      <c r="AD20" s="4">
        <v>0.4</v>
      </c>
      <c r="AE20">
        <v>153</v>
      </c>
      <c r="AF20">
        <v>8.0717999999999996</v>
      </c>
      <c r="AG20" t="s">
        <v>90</v>
      </c>
      <c r="AH20" t="s">
        <v>91</v>
      </c>
    </row>
    <row r="21" spans="1:36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  <c r="AA21">
        <v>3</v>
      </c>
      <c r="AB21">
        <v>0.05</v>
      </c>
      <c r="AC21">
        <v>50</v>
      </c>
      <c r="AD21" s="4">
        <v>0.15</v>
      </c>
      <c r="AE21">
        <v>153</v>
      </c>
      <c r="AF21">
        <v>3.5087000000000002</v>
      </c>
      <c r="AG21" t="s">
        <v>104</v>
      </c>
      <c r="AH21" t="s">
        <v>105</v>
      </c>
    </row>
    <row r="22" spans="1:36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  <c r="AA22">
        <v>25</v>
      </c>
      <c r="AB22">
        <v>0.05</v>
      </c>
      <c r="AC22">
        <v>50</v>
      </c>
      <c r="AD22" s="4">
        <v>1.25</v>
      </c>
      <c r="AE22">
        <v>153</v>
      </c>
      <c r="AF22">
        <v>29.237400000000001</v>
      </c>
      <c r="AG22" t="s">
        <v>140</v>
      </c>
      <c r="AH22" t="s">
        <v>141</v>
      </c>
    </row>
    <row r="23" spans="1:36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  <c r="AD23" s="4"/>
    </row>
    <row r="24" spans="1:36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  <c r="AD24" s="4"/>
    </row>
    <row r="25" spans="1:36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  <c r="AD25" s="4"/>
    </row>
    <row r="26" spans="1:36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  <c r="AD26" s="4"/>
    </row>
    <row r="27" spans="1:36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  <c r="AD27" s="4"/>
    </row>
    <row r="28" spans="1:36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  <c r="AD28" s="4"/>
    </row>
    <row r="29" spans="1:36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  <c r="AD29" s="4"/>
    </row>
    <row r="30" spans="1:36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  <c r="AD30" s="4"/>
    </row>
    <row r="31" spans="1:36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  <c r="AD31" s="4"/>
    </row>
    <row r="32" spans="1:36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  <c r="AD32" s="4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"/>
  <sheetViews>
    <sheetView workbookViewId="0">
      <selection activeCell="T16" sqref="T16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21" width="9.140625" style="2"/>
    <col min="22" max="22" width="13.5703125" style="2" customWidth="1"/>
    <col min="23" max="24" width="10.7109375" style="2" bestFit="1" customWidth="1"/>
    <col min="25" max="16384" width="9.140625" style="2"/>
  </cols>
  <sheetData>
    <row r="1" spans="1:24" x14ac:dyDescent="0.25">
      <c r="A1" s="1" t="s">
        <v>0</v>
      </c>
      <c r="L1" s="2" t="s">
        <v>878</v>
      </c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875</v>
      </c>
      <c r="M2" s="2" t="s">
        <v>876</v>
      </c>
      <c r="N2" s="2" t="s">
        <v>877</v>
      </c>
      <c r="P2" s="2" t="s">
        <v>224</v>
      </c>
    </row>
    <row r="3" spans="1:2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  <c r="P3">
        <v>2</v>
      </c>
      <c r="Q3" s="4">
        <v>1</v>
      </c>
      <c r="R3">
        <v>1000</v>
      </c>
      <c r="S3" s="4">
        <v>2</v>
      </c>
      <c r="T3">
        <v>7.0122</v>
      </c>
      <c r="U3" s="5" t="s">
        <v>225</v>
      </c>
      <c r="V3" t="s">
        <v>226</v>
      </c>
      <c r="W3" s="6">
        <v>42128</v>
      </c>
      <c r="X3" s="6">
        <v>51501</v>
      </c>
    </row>
    <row r="4" spans="1:2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  <c r="P4">
        <v>2</v>
      </c>
      <c r="Q4" s="4">
        <v>0.1875</v>
      </c>
      <c r="R4">
        <v>187.5</v>
      </c>
      <c r="S4" s="4">
        <v>0.375</v>
      </c>
      <c r="T4">
        <v>1.8190999999999999</v>
      </c>
      <c r="U4" s="5" t="s">
        <v>227</v>
      </c>
      <c r="V4" t="s">
        <v>228</v>
      </c>
      <c r="W4" s="6">
        <v>42128</v>
      </c>
      <c r="X4" s="6">
        <v>51501</v>
      </c>
    </row>
    <row r="5" spans="1:2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  <c r="P5">
        <v>2</v>
      </c>
      <c r="Q5" s="4">
        <v>0.2</v>
      </c>
      <c r="R5">
        <v>200</v>
      </c>
      <c r="S5" s="4">
        <v>0.4</v>
      </c>
      <c r="T5">
        <v>1.9475</v>
      </c>
      <c r="U5" s="5" t="s">
        <v>229</v>
      </c>
      <c r="V5" t="s">
        <v>230</v>
      </c>
      <c r="W5" s="6">
        <v>42128</v>
      </c>
      <c r="X5" s="6">
        <v>51501</v>
      </c>
    </row>
    <row r="6" spans="1:2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  <c r="P6">
        <v>2</v>
      </c>
      <c r="Q6" s="4">
        <v>0.375</v>
      </c>
      <c r="R6">
        <v>375</v>
      </c>
      <c r="S6" s="4">
        <v>0.75</v>
      </c>
      <c r="T6">
        <v>3.6457000000000002</v>
      </c>
      <c r="U6" s="5" t="s">
        <v>231</v>
      </c>
      <c r="V6" t="s">
        <v>232</v>
      </c>
      <c r="W6" s="6">
        <v>42128</v>
      </c>
      <c r="X6" s="6">
        <v>51501</v>
      </c>
    </row>
    <row r="7" spans="1:2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  <c r="P7">
        <v>2</v>
      </c>
      <c r="Q7" s="4">
        <v>4.5</v>
      </c>
      <c r="R7">
        <v>4500</v>
      </c>
      <c r="S7" s="4">
        <v>9</v>
      </c>
      <c r="T7">
        <v>22.8109</v>
      </c>
      <c r="U7" s="5" t="s">
        <v>233</v>
      </c>
      <c r="V7" t="s">
        <v>234</v>
      </c>
      <c r="W7" s="6">
        <v>42128</v>
      </c>
      <c r="X7" s="6">
        <v>51501</v>
      </c>
    </row>
    <row r="8" spans="1:2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  <c r="P8">
        <v>2</v>
      </c>
      <c r="Q8" s="4">
        <v>0.75</v>
      </c>
      <c r="R8">
        <v>750</v>
      </c>
      <c r="S8" s="4">
        <v>1.5</v>
      </c>
      <c r="T8">
        <v>6.1266999999999996</v>
      </c>
      <c r="U8" s="5" t="s">
        <v>235</v>
      </c>
      <c r="V8" t="s">
        <v>236</v>
      </c>
      <c r="W8" s="6">
        <v>42128</v>
      </c>
      <c r="X8" s="6">
        <v>51501</v>
      </c>
    </row>
    <row r="9" spans="1:2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  <c r="P9">
        <v>3</v>
      </c>
      <c r="Q9" s="4">
        <v>0.2</v>
      </c>
      <c r="R9">
        <v>200</v>
      </c>
      <c r="S9" s="4">
        <v>0.60000000000000009</v>
      </c>
      <c r="T9">
        <v>2.9087000000000001</v>
      </c>
      <c r="U9" s="5" t="s">
        <v>237</v>
      </c>
      <c r="V9" t="s">
        <v>238</v>
      </c>
      <c r="W9" s="6">
        <v>42128</v>
      </c>
      <c r="X9" s="6">
        <v>51501</v>
      </c>
    </row>
    <row r="10" spans="1:2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  <c r="P10">
        <v>3</v>
      </c>
      <c r="Q10" s="4">
        <v>0.25</v>
      </c>
      <c r="R10">
        <v>250</v>
      </c>
      <c r="S10" s="4">
        <v>0.75</v>
      </c>
      <c r="T10">
        <v>3.6465999999999998</v>
      </c>
      <c r="U10" s="5" t="s">
        <v>239</v>
      </c>
      <c r="V10" t="s">
        <v>240</v>
      </c>
      <c r="W10" s="6">
        <v>42689</v>
      </c>
      <c r="X10" s="6">
        <v>51501</v>
      </c>
    </row>
    <row r="11" spans="1:2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  <c r="P11">
        <v>3</v>
      </c>
      <c r="Q11" s="4">
        <v>0.375</v>
      </c>
      <c r="R11">
        <v>375</v>
      </c>
      <c r="S11" s="4">
        <v>1.125</v>
      </c>
      <c r="T11">
        <v>5.4688999999999997</v>
      </c>
      <c r="U11" s="5" t="s">
        <v>241</v>
      </c>
      <c r="V11" t="s">
        <v>242</v>
      </c>
      <c r="W11" s="6">
        <v>42128</v>
      </c>
      <c r="X11" s="6">
        <v>51501</v>
      </c>
    </row>
    <row r="12" spans="1:2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  <c r="P12">
        <v>3</v>
      </c>
      <c r="Q12" s="4">
        <v>0.05</v>
      </c>
      <c r="R12">
        <v>50</v>
      </c>
      <c r="S12" s="4">
        <v>0.15000000000000002</v>
      </c>
      <c r="T12">
        <v>0.72799999999999998</v>
      </c>
      <c r="U12" s="5" t="s">
        <v>243</v>
      </c>
      <c r="V12" t="s">
        <v>244</v>
      </c>
      <c r="W12" s="6">
        <v>42128</v>
      </c>
      <c r="X12" s="6">
        <v>51501</v>
      </c>
    </row>
    <row r="13" spans="1:2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  <c r="P13">
        <v>3</v>
      </c>
      <c r="Q13" s="4">
        <v>0.75</v>
      </c>
      <c r="R13">
        <v>750</v>
      </c>
      <c r="S13" s="4">
        <v>2.25</v>
      </c>
      <c r="T13">
        <v>9.1902000000000008</v>
      </c>
      <c r="U13" s="5" t="s">
        <v>245</v>
      </c>
      <c r="V13" t="s">
        <v>246</v>
      </c>
      <c r="W13" s="6">
        <v>42128</v>
      </c>
      <c r="X13" s="6">
        <v>51501</v>
      </c>
    </row>
    <row r="14" spans="1:2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  <c r="P14">
        <v>4</v>
      </c>
      <c r="Q14" s="4">
        <v>0.187</v>
      </c>
      <c r="R14">
        <v>187</v>
      </c>
      <c r="S14" s="4">
        <v>0.748</v>
      </c>
      <c r="T14">
        <v>3.6381000000000001</v>
      </c>
      <c r="U14" s="5" t="s">
        <v>247</v>
      </c>
      <c r="V14" t="s">
        <v>248</v>
      </c>
      <c r="W14" s="6">
        <v>42128</v>
      </c>
      <c r="X14" s="6">
        <v>51501</v>
      </c>
    </row>
    <row r="15" spans="1:2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  <c r="P15">
        <v>4</v>
      </c>
      <c r="Q15" s="4">
        <v>0.1875</v>
      </c>
      <c r="R15">
        <v>187.5</v>
      </c>
      <c r="S15" s="4">
        <v>0.75</v>
      </c>
      <c r="T15">
        <v>3.6480999999999999</v>
      </c>
      <c r="U15" s="5" t="s">
        <v>249</v>
      </c>
      <c r="V15" t="s">
        <v>250</v>
      </c>
      <c r="W15" s="6">
        <v>42128</v>
      </c>
      <c r="X15" s="6">
        <v>51501</v>
      </c>
    </row>
    <row r="16" spans="1:2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  <c r="P16">
        <v>4</v>
      </c>
      <c r="Q16" s="4">
        <v>0.2</v>
      </c>
      <c r="R16">
        <v>200</v>
      </c>
      <c r="S16" s="4">
        <v>0.8</v>
      </c>
      <c r="T16">
        <v>3.8952</v>
      </c>
      <c r="U16" s="5" t="s">
        <v>251</v>
      </c>
      <c r="V16" t="s">
        <v>252</v>
      </c>
      <c r="W16" s="6">
        <v>42128</v>
      </c>
      <c r="X16" s="6">
        <v>51501</v>
      </c>
    </row>
    <row r="17" spans="1:24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  <c r="P17">
        <v>4</v>
      </c>
      <c r="Q17" s="4">
        <v>0.25</v>
      </c>
      <c r="R17">
        <v>250</v>
      </c>
      <c r="S17" s="4">
        <v>1</v>
      </c>
      <c r="T17">
        <v>4.8625999999999996</v>
      </c>
      <c r="U17" s="5" t="s">
        <v>253</v>
      </c>
      <c r="V17" t="s">
        <v>254</v>
      </c>
      <c r="W17" s="6">
        <v>42128</v>
      </c>
      <c r="X17" s="6">
        <v>51501</v>
      </c>
    </row>
    <row r="18" spans="1:24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  <c r="P18">
        <v>4</v>
      </c>
      <c r="Q18" s="4">
        <v>0.375</v>
      </c>
      <c r="R18">
        <v>375</v>
      </c>
      <c r="S18" s="4">
        <v>1.5</v>
      </c>
      <c r="T18">
        <v>7.2916999999999996</v>
      </c>
      <c r="U18" s="5" t="s">
        <v>255</v>
      </c>
      <c r="V18" t="s">
        <v>256</v>
      </c>
      <c r="W18" s="6">
        <v>42128</v>
      </c>
      <c r="X18" s="6">
        <v>51501</v>
      </c>
    </row>
    <row r="19" spans="1:24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  <c r="P19">
        <v>4</v>
      </c>
      <c r="Q19" s="4">
        <v>0.5</v>
      </c>
      <c r="R19">
        <v>500</v>
      </c>
      <c r="S19" s="4">
        <v>2</v>
      </c>
      <c r="T19">
        <v>9.7308000000000003</v>
      </c>
      <c r="U19" s="5" t="s">
        <v>257</v>
      </c>
      <c r="V19" t="s">
        <v>258</v>
      </c>
      <c r="W19" s="6">
        <v>42128</v>
      </c>
      <c r="X19" s="6">
        <v>51501</v>
      </c>
    </row>
    <row r="20" spans="1:24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  <c r="P20">
        <v>6</v>
      </c>
      <c r="Q20" s="4">
        <v>0.187</v>
      </c>
      <c r="R20">
        <v>187</v>
      </c>
      <c r="S20" s="4">
        <v>1.1219999999999999</v>
      </c>
      <c r="T20">
        <v>5.4573</v>
      </c>
      <c r="U20" s="5" t="s">
        <v>259</v>
      </c>
      <c r="V20" t="s">
        <v>260</v>
      </c>
      <c r="W20" s="6">
        <v>42128</v>
      </c>
      <c r="X20" s="6">
        <v>51501</v>
      </c>
    </row>
    <row r="21" spans="1:24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  <c r="P21">
        <v>6</v>
      </c>
      <c r="Q21" s="4">
        <v>0.25</v>
      </c>
      <c r="R21">
        <v>250</v>
      </c>
      <c r="S21" s="4">
        <v>1.5</v>
      </c>
      <c r="T21">
        <v>7.2942</v>
      </c>
      <c r="U21" s="5" t="s">
        <v>261</v>
      </c>
      <c r="V21" t="s">
        <v>262</v>
      </c>
      <c r="W21" s="6">
        <v>42128</v>
      </c>
      <c r="X21" s="6">
        <v>51501</v>
      </c>
    </row>
    <row r="22" spans="1:24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  <c r="P22">
        <v>6</v>
      </c>
      <c r="Q22" s="4">
        <v>0.05</v>
      </c>
      <c r="R22">
        <v>50</v>
      </c>
      <c r="S22" s="4">
        <v>0.30000000000000004</v>
      </c>
      <c r="T22">
        <v>1.4565999999999999</v>
      </c>
      <c r="U22" s="5" t="s">
        <v>263</v>
      </c>
      <c r="V22" t="s">
        <v>264</v>
      </c>
      <c r="W22" s="6">
        <v>42082</v>
      </c>
      <c r="X22" s="6">
        <v>51501</v>
      </c>
    </row>
    <row r="23" spans="1:24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  <c r="P23">
        <v>6</v>
      </c>
      <c r="Q23" s="4">
        <v>0.75</v>
      </c>
      <c r="R23">
        <v>750</v>
      </c>
      <c r="S23" s="4">
        <v>4.5</v>
      </c>
      <c r="T23">
        <v>18.38</v>
      </c>
      <c r="U23" s="5" t="s">
        <v>265</v>
      </c>
      <c r="V23" t="s">
        <v>266</v>
      </c>
      <c r="W23" s="6">
        <v>42128</v>
      </c>
      <c r="X23" s="6">
        <v>51501</v>
      </c>
    </row>
    <row r="24" spans="1:24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  <c r="P24">
        <v>12</v>
      </c>
      <c r="Q24" s="4">
        <v>0.05</v>
      </c>
      <c r="R24">
        <v>50</v>
      </c>
      <c r="S24" s="4">
        <v>0.60000000000000009</v>
      </c>
      <c r="T24">
        <v>2.9125000000000001</v>
      </c>
      <c r="U24" s="5" t="s">
        <v>267</v>
      </c>
      <c r="V24" t="s">
        <v>268</v>
      </c>
      <c r="W24" s="6">
        <v>42128</v>
      </c>
      <c r="X24" s="6">
        <v>51501</v>
      </c>
    </row>
    <row r="25" spans="1:24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  <c r="P25" s="2">
        <v>4</v>
      </c>
      <c r="Q25" s="4">
        <v>0.75</v>
      </c>
      <c r="R25">
        <v>750</v>
      </c>
      <c r="S25" s="4">
        <v>3</v>
      </c>
      <c r="T25">
        <v>2.9125000000000001</v>
      </c>
      <c r="U25" s="5" t="s">
        <v>267</v>
      </c>
      <c r="V25" t="s">
        <v>268</v>
      </c>
      <c r="W25" s="6">
        <v>42128</v>
      </c>
      <c r="X25" s="6">
        <v>51501</v>
      </c>
    </row>
    <row r="26" spans="1:24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24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24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24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24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24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24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workbookViewId="0">
      <selection activeCell="E11" sqref="E11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879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875</v>
      </c>
      <c r="Y2" t="s">
        <v>876</v>
      </c>
      <c r="Z2" t="s">
        <v>877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workbookViewId="0">
      <selection activeCell="N8" sqref="N8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880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875</v>
      </c>
      <c r="BL2" t="s">
        <v>876</v>
      </c>
      <c r="BM2" t="s">
        <v>877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sqref="A1:E1"/>
    </sheetView>
  </sheetViews>
  <sheetFormatPr defaultRowHeight="15" x14ac:dyDescent="0.25"/>
  <sheetData>
    <row r="1" spans="1:5" ht="15.75" thickBot="1" x14ac:dyDescent="0.3">
      <c r="A1" s="194" t="s">
        <v>676</v>
      </c>
      <c r="B1" s="195"/>
      <c r="C1" s="195"/>
      <c r="D1" s="195"/>
      <c r="E1" s="196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97" t="s">
        <v>681</v>
      </c>
      <c r="B4" s="19" t="s">
        <v>682</v>
      </c>
      <c r="C4" s="20"/>
      <c r="D4" s="20">
        <v>99</v>
      </c>
      <c r="E4" s="129">
        <v>116.26</v>
      </c>
    </row>
    <row r="5" spans="1:5" x14ac:dyDescent="0.25">
      <c r="A5" s="198"/>
      <c r="B5" s="21" t="s">
        <v>683</v>
      </c>
      <c r="C5" s="22">
        <v>100</v>
      </c>
      <c r="D5" s="22">
        <v>299</v>
      </c>
      <c r="E5" s="127">
        <v>95.12</v>
      </c>
    </row>
    <row r="6" spans="1:5" x14ac:dyDescent="0.25">
      <c r="A6" s="198"/>
      <c r="B6" s="21" t="s">
        <v>684</v>
      </c>
      <c r="C6" s="22">
        <v>300</v>
      </c>
      <c r="D6" s="22">
        <v>399</v>
      </c>
      <c r="E6" s="127">
        <v>79.27</v>
      </c>
    </row>
    <row r="7" spans="1:5" x14ac:dyDescent="0.25">
      <c r="A7" s="198"/>
      <c r="B7" s="21" t="s">
        <v>895</v>
      </c>
      <c r="C7" s="22">
        <v>400</v>
      </c>
      <c r="D7" s="22">
        <v>699</v>
      </c>
      <c r="E7" s="127">
        <v>73.98</v>
      </c>
    </row>
    <row r="8" spans="1:5" ht="15.75" thickBot="1" x14ac:dyDescent="0.3">
      <c r="A8" s="199"/>
      <c r="B8" s="21" t="s">
        <v>685</v>
      </c>
      <c r="C8" s="22">
        <v>700</v>
      </c>
      <c r="D8" s="22"/>
      <c r="E8" s="127">
        <v>69.81</v>
      </c>
    </row>
    <row r="9" spans="1:5" x14ac:dyDescent="0.25">
      <c r="A9" s="197" t="s">
        <v>686</v>
      </c>
      <c r="B9" s="19" t="s">
        <v>687</v>
      </c>
      <c r="C9" s="20"/>
      <c r="D9" s="23">
        <v>9999</v>
      </c>
      <c r="E9" s="129">
        <v>69.81</v>
      </c>
    </row>
    <row r="10" spans="1:5" x14ac:dyDescent="0.25">
      <c r="A10" s="198"/>
      <c r="B10" s="21" t="s">
        <v>896</v>
      </c>
      <c r="C10" s="24">
        <v>10000</v>
      </c>
      <c r="D10" s="24">
        <v>19999</v>
      </c>
      <c r="E10" s="127">
        <v>63.41</v>
      </c>
    </row>
    <row r="11" spans="1:5" ht="15.75" thickBot="1" x14ac:dyDescent="0.3">
      <c r="A11" s="199"/>
      <c r="B11" s="25" t="s">
        <v>688</v>
      </c>
      <c r="C11" s="26">
        <v>20000</v>
      </c>
      <c r="D11" s="27"/>
      <c r="E11" s="128">
        <v>58.13</v>
      </c>
    </row>
    <row r="12" spans="1:5" x14ac:dyDescent="0.25">
      <c r="A12" s="191" t="s">
        <v>689</v>
      </c>
      <c r="B12" s="19" t="s">
        <v>682</v>
      </c>
      <c r="C12" s="20"/>
      <c r="D12" s="20">
        <v>99</v>
      </c>
      <c r="E12" s="129">
        <v>422.75</v>
      </c>
    </row>
    <row r="13" spans="1:5" x14ac:dyDescent="0.25">
      <c r="A13" s="192"/>
      <c r="B13" s="21" t="s">
        <v>690</v>
      </c>
      <c r="C13" s="22">
        <v>100</v>
      </c>
      <c r="D13" s="22">
        <v>249</v>
      </c>
      <c r="E13" s="127">
        <v>95.12</v>
      </c>
    </row>
    <row r="14" spans="1:5" x14ac:dyDescent="0.25">
      <c r="A14" s="192"/>
      <c r="B14" s="21" t="s">
        <v>691</v>
      </c>
      <c r="C14" s="22">
        <v>250</v>
      </c>
      <c r="D14" s="22">
        <v>399</v>
      </c>
      <c r="E14" s="127">
        <v>79.27</v>
      </c>
    </row>
    <row r="15" spans="1:5" x14ac:dyDescent="0.25">
      <c r="A15" s="192"/>
      <c r="B15" s="21" t="s">
        <v>895</v>
      </c>
      <c r="C15" s="22">
        <v>400</v>
      </c>
      <c r="D15" s="22">
        <v>699</v>
      </c>
      <c r="E15" s="127">
        <v>73.98</v>
      </c>
    </row>
    <row r="16" spans="1:5" ht="15.75" thickBot="1" x14ac:dyDescent="0.3">
      <c r="A16" s="193"/>
      <c r="B16" s="25" t="s">
        <v>685</v>
      </c>
      <c r="C16" s="27">
        <v>700</v>
      </c>
      <c r="D16" s="27"/>
      <c r="E16" s="128">
        <v>69.81</v>
      </c>
    </row>
    <row r="17" spans="1:5" x14ac:dyDescent="0.25">
      <c r="A17" s="197" t="s">
        <v>692</v>
      </c>
      <c r="B17" s="19" t="s">
        <v>682</v>
      </c>
      <c r="C17" s="20"/>
      <c r="D17" s="20">
        <v>99</v>
      </c>
      <c r="E17" s="129">
        <v>137.38999999999999</v>
      </c>
    </row>
    <row r="18" spans="1:5" x14ac:dyDescent="0.25">
      <c r="A18" s="198"/>
      <c r="B18" s="21" t="s">
        <v>897</v>
      </c>
      <c r="C18" s="22">
        <v>100</v>
      </c>
      <c r="D18" s="22">
        <v>374</v>
      </c>
      <c r="E18" s="127">
        <v>100.4</v>
      </c>
    </row>
    <row r="19" spans="1:5" x14ac:dyDescent="0.25">
      <c r="A19" s="198"/>
      <c r="B19" s="21" t="s">
        <v>898</v>
      </c>
      <c r="C19" s="22">
        <v>375</v>
      </c>
      <c r="D19" s="22">
        <v>699</v>
      </c>
      <c r="E19" s="127">
        <v>73.98</v>
      </c>
    </row>
    <row r="20" spans="1:5" x14ac:dyDescent="0.25">
      <c r="A20" s="198"/>
      <c r="B20" s="21" t="s">
        <v>899</v>
      </c>
      <c r="C20" s="22">
        <v>700</v>
      </c>
      <c r="D20" s="24">
        <v>3999</v>
      </c>
      <c r="E20" s="127">
        <v>69.81</v>
      </c>
    </row>
    <row r="21" spans="1:5" ht="15.75" thickBot="1" x14ac:dyDescent="0.3">
      <c r="A21" s="199"/>
      <c r="B21" s="25" t="s">
        <v>693</v>
      </c>
      <c r="C21" s="26">
        <v>4000</v>
      </c>
      <c r="D21" s="27"/>
      <c r="E21" s="128">
        <v>58.13</v>
      </c>
    </row>
    <row r="22" spans="1:5" x14ac:dyDescent="0.25">
      <c r="A22" s="191" t="s">
        <v>694</v>
      </c>
      <c r="B22" s="19" t="s">
        <v>682</v>
      </c>
      <c r="C22" s="20"/>
      <c r="D22" s="20">
        <v>99</v>
      </c>
      <c r="E22" s="129">
        <v>211.38</v>
      </c>
    </row>
    <row r="23" spans="1:5" x14ac:dyDescent="0.25">
      <c r="A23" s="192"/>
      <c r="B23" s="21" t="s">
        <v>897</v>
      </c>
      <c r="C23" s="22">
        <v>100</v>
      </c>
      <c r="D23" s="22">
        <v>374</v>
      </c>
      <c r="E23" s="127">
        <v>100.4</v>
      </c>
    </row>
    <row r="24" spans="1:5" x14ac:dyDescent="0.25">
      <c r="A24" s="192"/>
      <c r="B24" s="21" t="s">
        <v>898</v>
      </c>
      <c r="C24" s="22">
        <v>375</v>
      </c>
      <c r="D24" s="22">
        <v>699</v>
      </c>
      <c r="E24" s="127">
        <v>73.98</v>
      </c>
    </row>
    <row r="25" spans="1:5" ht="15.75" thickBot="1" x14ac:dyDescent="0.3">
      <c r="A25" s="193"/>
      <c r="B25" s="25" t="s">
        <v>685</v>
      </c>
      <c r="C25" s="27">
        <v>700</v>
      </c>
      <c r="D25" s="27"/>
      <c r="E25" s="128">
        <v>69.81</v>
      </c>
    </row>
    <row r="26" spans="1:5" x14ac:dyDescent="0.25">
      <c r="A26" t="s">
        <v>695</v>
      </c>
      <c r="D26" s="28">
        <v>99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3999</v>
      </c>
    </row>
    <row r="30" spans="1:5" x14ac:dyDescent="0.25">
      <c r="C30" s="29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  <vt:lpstr>'Trial Pricing Calculator 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2020-07-08T20:48:35Z</cp:lastPrinted>
  <dcterms:created xsi:type="dcterms:W3CDTF">2017-01-25T15:18:40Z</dcterms:created>
  <dcterms:modified xsi:type="dcterms:W3CDTF">2021-11-25T16:23:39Z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