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jocelyn_santiago_mbll_ca/Documents/2021 Folder/Application Forms/"/>
    </mc:Choice>
  </mc:AlternateContent>
  <xr:revisionPtr revIDLastSave="0" documentId="8_{92452135-8C30-42AC-95D4-F94D146C70A2}" xr6:coauthVersionLast="46" xr6:coauthVersionMax="46" xr10:uidLastSave="{00000000-0000-0000-0000-000000000000}"/>
  <workbookProtection workbookAlgorithmName="SHA-512" workbookHashValue="FqkuzVp1kIeEHpmfmGflxUhnN+FdaFF/XmHgLcIbPacM+hk2bLZ4akUlrK0iwNh8WZ61Gsa0kSuOL2+dcDfgeg==" workbookSaltValue="LamIgwa0etGWro+XOUe8Eg==" workbookSpinCount="100000" lockStructure="1"/>
  <bookViews>
    <workbookView xWindow="-28920" yWindow="-3675" windowWidth="29040" windowHeight="15840" tabRatio="847" xr2:uid="{00000000-000D-0000-FFFF-FFFF00000000}"/>
  </bookViews>
  <sheets>
    <sheet name="Trial Pricing Calculator " sheetId="7" r:id="rId1"/>
    <sheet name="Calculations" sheetId="1" state="hidden" r:id="rId2"/>
    <sheet name="Spirit Min. Markup" sheetId="2" state="hidden" r:id="rId3"/>
    <sheet name="Wine Min. Markup" sheetId="3" state="hidden" r:id="rId4"/>
    <sheet name="Ref. Bev. Min. Markup" sheetId="4" state="hidden" r:id="rId5"/>
    <sheet name="Beer Min. Markup" sheetId="5" state="hidden" r:id="rId6"/>
    <sheet name="SRP" sheetId="6" state="hidden" r:id="rId7"/>
  </sheets>
  <definedNames>
    <definedName name="Micro">'Trial Pricing Calculator '!$V$6:$V$9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5" i="1" l="1"/>
  <c r="C11" i="7"/>
  <c r="D19" i="1"/>
  <c r="C19" i="1"/>
  <c r="B19" i="1"/>
  <c r="C18" i="7"/>
  <c r="C19" i="7"/>
  <c r="C38" i="7"/>
  <c r="F38" i="7"/>
  <c r="K19" i="7"/>
  <c r="A19" i="1"/>
  <c r="K16" i="7"/>
  <c r="K14" i="7"/>
  <c r="F29" i="7" s="1"/>
  <c r="K13" i="7"/>
  <c r="K21" i="7"/>
  <c r="F30" i="7" s="1"/>
  <c r="K17" i="7"/>
  <c r="J13" i="1"/>
  <c r="K15" i="7"/>
  <c r="N41" i="5"/>
  <c r="N40" i="5"/>
  <c r="N39" i="5"/>
  <c r="N38" i="5"/>
  <c r="N37" i="5"/>
  <c r="N36" i="5"/>
  <c r="N35" i="5"/>
  <c r="N34" i="5"/>
  <c r="AL33" i="5"/>
  <c r="AN33" i="5" s="1"/>
  <c r="N33" i="5"/>
  <c r="AL32" i="5"/>
  <c r="AN32" i="5"/>
  <c r="N32" i="5"/>
  <c r="AL31" i="5"/>
  <c r="AN31" i="5" s="1"/>
  <c r="N31" i="5"/>
  <c r="BA30" i="5"/>
  <c r="AL30" i="5"/>
  <c r="AN30" i="5" s="1"/>
  <c r="N30" i="5"/>
  <c r="BA29" i="5"/>
  <c r="AL29" i="5"/>
  <c r="AN29" i="5"/>
  <c r="N29" i="5"/>
  <c r="BA28" i="5"/>
  <c r="AL28" i="5"/>
  <c r="AN28" i="5" s="1"/>
  <c r="N28" i="5"/>
  <c r="BA27" i="5"/>
  <c r="AL27" i="5"/>
  <c r="AN27" i="5" s="1"/>
  <c r="N27" i="5"/>
  <c r="BA26" i="5"/>
  <c r="AL26" i="5"/>
  <c r="AN26" i="5"/>
  <c r="N26" i="5"/>
  <c r="BA25" i="5"/>
  <c r="AL25" i="5"/>
  <c r="AN25" i="5" s="1"/>
  <c r="N25" i="5"/>
  <c r="BA24" i="5"/>
  <c r="AL24" i="5"/>
  <c r="AN24" i="5" s="1"/>
  <c r="N24" i="5"/>
  <c r="BA23" i="5"/>
  <c r="AL23" i="5"/>
  <c r="AN23" i="5"/>
  <c r="N23" i="5"/>
  <c r="BA22" i="5"/>
  <c r="AL22" i="5"/>
  <c r="AN22" i="5" s="1"/>
  <c r="N22" i="5"/>
  <c r="BA21" i="5"/>
  <c r="AL21" i="5"/>
  <c r="AN21" i="5" s="1"/>
  <c r="N21" i="5"/>
  <c r="B21" i="5"/>
  <c r="BA20" i="5"/>
  <c r="AL20" i="5"/>
  <c r="AN20" i="5"/>
  <c r="N20" i="5"/>
  <c r="B20" i="5"/>
  <c r="BA19" i="5"/>
  <c r="AL19" i="5"/>
  <c r="AN19" i="5"/>
  <c r="N19" i="5"/>
  <c r="J18" i="1" s="1"/>
  <c r="B19" i="5"/>
  <c r="BA18" i="5"/>
  <c r="AL18" i="5"/>
  <c r="AN18" i="5" s="1"/>
  <c r="N18" i="5"/>
  <c r="B18" i="5"/>
  <c r="BA17" i="5"/>
  <c r="AL17" i="5"/>
  <c r="AN17" i="5" s="1"/>
  <c r="N17" i="5"/>
  <c r="B17" i="5"/>
  <c r="BA16" i="5"/>
  <c r="AL16" i="5"/>
  <c r="AN16" i="5"/>
  <c r="N16" i="5"/>
  <c r="B16" i="5"/>
  <c r="BA15" i="5"/>
  <c r="AL15" i="5"/>
  <c r="AN15" i="5" s="1"/>
  <c r="N15" i="5"/>
  <c r="B15" i="5"/>
  <c r="BA14" i="5"/>
  <c r="AL14" i="5"/>
  <c r="AN14" i="5"/>
  <c r="N14" i="5"/>
  <c r="B14" i="5"/>
  <c r="BA13" i="5"/>
  <c r="AL13" i="5"/>
  <c r="AN13" i="5"/>
  <c r="Z13" i="5"/>
  <c r="N13" i="5"/>
  <c r="B13" i="5"/>
  <c r="BA12" i="5"/>
  <c r="AL12" i="5"/>
  <c r="AN12" i="5"/>
  <c r="Z12" i="5"/>
  <c r="N12" i="5"/>
  <c r="B12" i="5"/>
  <c r="BA11" i="5"/>
  <c r="AL11" i="5"/>
  <c r="AN11" i="5"/>
  <c r="Z11" i="5"/>
  <c r="N11" i="5"/>
  <c r="B11" i="5"/>
  <c r="BA10" i="5"/>
  <c r="AL10" i="5"/>
  <c r="AN10" i="5"/>
  <c r="Z10" i="5"/>
  <c r="N10" i="5"/>
  <c r="B10" i="5"/>
  <c r="BA9" i="5"/>
  <c r="AL9" i="5"/>
  <c r="AN9" i="5"/>
  <c r="Z9" i="5"/>
  <c r="N9" i="5"/>
  <c r="B9" i="5"/>
  <c r="BA8" i="5"/>
  <c r="AL8" i="5"/>
  <c r="AN8" i="5"/>
  <c r="Z8" i="5"/>
  <c r="N8" i="5"/>
  <c r="B8" i="5"/>
  <c r="BA7" i="5"/>
  <c r="AL7" i="5"/>
  <c r="AN7" i="5"/>
  <c r="Z7" i="5"/>
  <c r="N7" i="5"/>
  <c r="B7" i="5"/>
  <c r="BA6" i="5"/>
  <c r="AL6" i="5"/>
  <c r="AN6" i="5"/>
  <c r="Z6" i="5"/>
  <c r="N6" i="5"/>
  <c r="B6" i="5"/>
  <c r="BA5" i="5"/>
  <c r="AL5" i="5"/>
  <c r="AN5" i="5"/>
  <c r="Z5" i="5"/>
  <c r="N5" i="5"/>
  <c r="B5" i="5"/>
  <c r="BA4" i="5"/>
  <c r="AL4" i="5"/>
  <c r="AN4" i="5"/>
  <c r="Z4" i="5"/>
  <c r="N4" i="5"/>
  <c r="B4" i="5"/>
  <c r="BA3" i="5"/>
  <c r="AL3" i="5"/>
  <c r="AN3" i="5"/>
  <c r="Z3" i="5"/>
  <c r="N3" i="5"/>
  <c r="B3" i="5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M28" i="4"/>
  <c r="O28" i="4" s="1"/>
  <c r="B28" i="4"/>
  <c r="M27" i="4"/>
  <c r="O27" i="4"/>
  <c r="B27" i="4"/>
  <c r="M26" i="4"/>
  <c r="O26" i="4" s="1"/>
  <c r="B26" i="4"/>
  <c r="M25" i="4"/>
  <c r="O25" i="4"/>
  <c r="B25" i="4"/>
  <c r="M24" i="4"/>
  <c r="O24" i="4" s="1"/>
  <c r="B24" i="4"/>
  <c r="M23" i="4"/>
  <c r="O23" i="4"/>
  <c r="B23" i="4"/>
  <c r="M22" i="4"/>
  <c r="O22" i="4" s="1"/>
  <c r="B22" i="4"/>
  <c r="M21" i="4"/>
  <c r="O21" i="4"/>
  <c r="B21" i="4"/>
  <c r="M20" i="4"/>
  <c r="O20" i="4" s="1"/>
  <c r="B20" i="4"/>
  <c r="M19" i="4"/>
  <c r="O19" i="4"/>
  <c r="B19" i="4"/>
  <c r="M18" i="4"/>
  <c r="O18" i="4" s="1"/>
  <c r="B18" i="4"/>
  <c r="M17" i="4"/>
  <c r="O17" i="4"/>
  <c r="B17" i="4"/>
  <c r="M16" i="4"/>
  <c r="O16" i="4" s="1"/>
  <c r="B16" i="4"/>
  <c r="M15" i="4"/>
  <c r="O15" i="4"/>
  <c r="B15" i="4"/>
  <c r="M14" i="4"/>
  <c r="O14" i="4" s="1"/>
  <c r="B14" i="4"/>
  <c r="M13" i="4"/>
  <c r="O13" i="4"/>
  <c r="B13" i="4"/>
  <c r="M12" i="4"/>
  <c r="O12" i="4" s="1"/>
  <c r="B12" i="4"/>
  <c r="M11" i="4"/>
  <c r="O11" i="4"/>
  <c r="B11" i="4"/>
  <c r="M10" i="4"/>
  <c r="O10" i="4" s="1"/>
  <c r="B10" i="4"/>
  <c r="M9" i="4"/>
  <c r="O9" i="4"/>
  <c r="B9" i="4"/>
  <c r="M8" i="4"/>
  <c r="O8" i="4" s="1"/>
  <c r="B8" i="4"/>
  <c r="M7" i="4"/>
  <c r="O7" i="4"/>
  <c r="B7" i="4"/>
  <c r="M6" i="4"/>
  <c r="O6" i="4" s="1"/>
  <c r="B6" i="4"/>
  <c r="M5" i="4"/>
  <c r="O5" i="4"/>
  <c r="B5" i="4"/>
  <c r="M4" i="4"/>
  <c r="O4" i="4" s="1"/>
  <c r="B4" i="4"/>
  <c r="M3" i="4"/>
  <c r="O3" i="4"/>
  <c r="B3" i="4"/>
  <c r="M2" i="4"/>
  <c r="O2" i="4" s="1"/>
  <c r="B2" i="4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H13" i="1" s="1"/>
  <c r="B3" i="3"/>
  <c r="B70" i="2"/>
  <c r="D70" i="2" s="1"/>
  <c r="B69" i="2"/>
  <c r="D69" i="2"/>
  <c r="B68" i="2"/>
  <c r="D68" i="2" s="1"/>
  <c r="B67" i="2"/>
  <c r="D67" i="2" s="1"/>
  <c r="B66" i="2"/>
  <c r="D66" i="2"/>
  <c r="B65" i="2"/>
  <c r="D65" i="2" s="1"/>
  <c r="B64" i="2"/>
  <c r="D64" i="2" s="1"/>
  <c r="B63" i="2"/>
  <c r="D63" i="2"/>
  <c r="B62" i="2"/>
  <c r="D62" i="2" s="1"/>
  <c r="B61" i="2"/>
  <c r="D61" i="2" s="1"/>
  <c r="B60" i="2"/>
  <c r="D60" i="2"/>
  <c r="B59" i="2"/>
  <c r="D59" i="2" s="1"/>
  <c r="B58" i="2"/>
  <c r="D58" i="2" s="1"/>
  <c r="B57" i="2"/>
  <c r="D57" i="2"/>
  <c r="B56" i="2"/>
  <c r="D56" i="2" s="1"/>
  <c r="B55" i="2"/>
  <c r="D55" i="2" s="1"/>
  <c r="B54" i="2"/>
  <c r="D54" i="2"/>
  <c r="B53" i="2"/>
  <c r="D53" i="2" s="1"/>
  <c r="B52" i="2"/>
  <c r="D52" i="2" s="1"/>
  <c r="B51" i="2"/>
  <c r="D51" i="2"/>
  <c r="B50" i="2"/>
  <c r="D50" i="2" s="1"/>
  <c r="B49" i="2"/>
  <c r="D49" i="2" s="1"/>
  <c r="B48" i="2"/>
  <c r="D48" i="2"/>
  <c r="B47" i="2"/>
  <c r="D47" i="2" s="1"/>
  <c r="B46" i="2"/>
  <c r="D46" i="2" s="1"/>
  <c r="B45" i="2"/>
  <c r="D45" i="2"/>
  <c r="B44" i="2"/>
  <c r="D44" i="2" s="1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G13" i="1" s="1"/>
  <c r="B5" i="2"/>
  <c r="B4" i="2"/>
  <c r="B3" i="2"/>
  <c r="K13" i="1"/>
  <c r="K18" i="1"/>
  <c r="I18" i="1"/>
  <c r="I13" i="1"/>
  <c r="D13" i="1"/>
  <c r="C13" i="1"/>
  <c r="A13" i="1"/>
  <c r="B13" i="1"/>
  <c r="C7" i="1"/>
  <c r="B4" i="1"/>
  <c r="F37" i="7"/>
  <c r="B7" i="1"/>
  <c r="A7" i="1"/>
  <c r="C4" i="1"/>
  <c r="K18" i="7"/>
  <c r="H22" i="1" s="1"/>
  <c r="D7" i="1"/>
  <c r="D16" i="1"/>
  <c r="C16" i="1"/>
  <c r="B16" i="1"/>
  <c r="A16" i="1"/>
  <c r="K22" i="1"/>
  <c r="A4" i="1"/>
  <c r="F31" i="7"/>
  <c r="F36" i="7"/>
  <c r="F32" i="7"/>
  <c r="F35" i="7"/>
  <c r="G42" i="7"/>
  <c r="F34" i="7"/>
  <c r="H10" i="1" l="1"/>
  <c r="H5" i="1" s="1"/>
  <c r="B10" i="1" s="1"/>
  <c r="I10" i="1"/>
  <c r="K30" i="7"/>
  <c r="I16" i="1"/>
  <c r="G10" i="1"/>
  <c r="G5" i="1" s="1"/>
  <c r="A10" i="1" s="1"/>
  <c r="K37" i="7"/>
  <c r="G41" i="7" s="1"/>
  <c r="I22" i="1"/>
  <c r="J22" i="1"/>
  <c r="G22" i="1"/>
  <c r="I5" i="1" l="1"/>
  <c r="C10" i="1" s="1"/>
  <c r="K10" i="1"/>
  <c r="K16" i="1"/>
  <c r="J10" i="1"/>
  <c r="J16" i="1"/>
  <c r="J5" i="1" l="1"/>
  <c r="D10" i="1" s="1"/>
  <c r="K5" i="1"/>
</calcChain>
</file>

<file path=xl/sharedStrings.xml><?xml version="1.0" encoding="utf-8"?>
<sst xmlns="http://schemas.openxmlformats.org/spreadsheetml/2006/main" count="1211" uniqueCount="897">
  <si>
    <t>Regular Min. Markup</t>
  </si>
  <si>
    <t>Units/Case</t>
  </si>
  <si>
    <t>Size/L</t>
  </si>
  <si>
    <t>Size/ml</t>
  </si>
  <si>
    <t>% Markup</t>
  </si>
  <si>
    <t>Minimum Markup</t>
  </si>
  <si>
    <t>Min. Markup Code</t>
  </si>
  <si>
    <t>Markup Code Name</t>
  </si>
  <si>
    <t>Effective Date</t>
  </si>
  <si>
    <t>Expiry Date</t>
  </si>
  <si>
    <t>Surcharge</t>
  </si>
  <si>
    <t>MM1200</t>
  </si>
  <si>
    <t>Liqueur 20 ml</t>
  </si>
  <si>
    <t>MM1300</t>
  </si>
  <si>
    <t>Liqueur 29ml</t>
  </si>
  <si>
    <t>MM1320</t>
  </si>
  <si>
    <t>Spirits 30 ml</t>
  </si>
  <si>
    <t>MM1412</t>
  </si>
  <si>
    <t>Spirits 40 ml</t>
  </si>
  <si>
    <t>MM1470</t>
  </si>
  <si>
    <t>Spirits 50 ml</t>
  </si>
  <si>
    <t>MM1600</t>
  </si>
  <si>
    <t>Spirits 100 ml</t>
  </si>
  <si>
    <t>MM1860</t>
  </si>
  <si>
    <t>Liqueur 200 ml</t>
  </si>
  <si>
    <t>MM1930</t>
  </si>
  <si>
    <t>Liqueur 250 ml</t>
  </si>
  <si>
    <t>MM2005</t>
  </si>
  <si>
    <t>Spirits 300 ml</t>
  </si>
  <si>
    <t>MM2035</t>
  </si>
  <si>
    <t>Spirits 341 ml</t>
  </si>
  <si>
    <t>MM2030</t>
  </si>
  <si>
    <t>Liqueur 350 ml</t>
  </si>
  <si>
    <t>MM2051</t>
  </si>
  <si>
    <t>Spirits/Liqueur 360 ml</t>
  </si>
  <si>
    <t>MM2075</t>
  </si>
  <si>
    <t>Spirits 375 ml</t>
  </si>
  <si>
    <t>MM2111</t>
  </si>
  <si>
    <t>Liqueur 450 ml</t>
  </si>
  <si>
    <t>MM2149</t>
  </si>
  <si>
    <t>Spirits 480 ml</t>
  </si>
  <si>
    <t>MM2150</t>
  </si>
  <si>
    <t>Spirits 500 ml</t>
  </si>
  <si>
    <t>MM2180</t>
  </si>
  <si>
    <t>Liqueur 680 ml</t>
  </si>
  <si>
    <t>MM2210</t>
  </si>
  <si>
    <t>Spirits 700 ml</t>
  </si>
  <si>
    <t>MM2215</t>
  </si>
  <si>
    <t>Spirits 710 ml</t>
  </si>
  <si>
    <t>MM2228</t>
  </si>
  <si>
    <t>Spirits 720 ml</t>
  </si>
  <si>
    <t>MM2230</t>
  </si>
  <si>
    <t>Spirits 730 ml</t>
  </si>
  <si>
    <t>MM2245</t>
  </si>
  <si>
    <t>Spirits 750 ml</t>
  </si>
  <si>
    <t>MM2280</t>
  </si>
  <si>
    <t>Spirits 1000 ml</t>
  </si>
  <si>
    <t>MM2310</t>
  </si>
  <si>
    <t>Liqueur 1140 ml</t>
  </si>
  <si>
    <t>MM2360</t>
  </si>
  <si>
    <t>Liqueur 1500ml</t>
  </si>
  <si>
    <t>MM2385</t>
  </si>
  <si>
    <t>Liqueur 1750 ml</t>
  </si>
  <si>
    <t>MM2405</t>
  </si>
  <si>
    <t>Liqueur 2000 ml</t>
  </si>
  <si>
    <t>MM2296</t>
  </si>
  <si>
    <t>Spirits 2000 ml</t>
  </si>
  <si>
    <t>MM2393</t>
  </si>
  <si>
    <t>Spirits 2500 ml</t>
  </si>
  <si>
    <t>MM2438</t>
  </si>
  <si>
    <t>Liqueur 3000 ml</t>
  </si>
  <si>
    <t>MM2495</t>
  </si>
  <si>
    <t>Spirits 3750 ml</t>
  </si>
  <si>
    <t>MM2470</t>
  </si>
  <si>
    <t>Spirits 3780 ml</t>
  </si>
  <si>
    <t>MM2475</t>
  </si>
  <si>
    <t>Spirits 3785 ml</t>
  </si>
  <si>
    <t>MM2480</t>
  </si>
  <si>
    <t>Spirits 3786 ml</t>
  </si>
  <si>
    <t>MM2485</t>
  </si>
  <si>
    <t>Spirits 3790 ml</t>
  </si>
  <si>
    <t>MM2515</t>
  </si>
  <si>
    <t>Spirits 4000 ml</t>
  </si>
  <si>
    <t>MM2540</t>
  </si>
  <si>
    <t>Spirits 4500 ml</t>
  </si>
  <si>
    <t>MM2545</t>
  </si>
  <si>
    <t>Liqueur 5000 ml</t>
  </si>
  <si>
    <t>Total L's</t>
  </si>
  <si>
    <t>MM2260</t>
  </si>
  <si>
    <t>Liqueur 2x375 ml</t>
  </si>
  <si>
    <t>MM1881</t>
  </si>
  <si>
    <t>Spirits 2x200 ml</t>
  </si>
  <si>
    <t>MM2076</t>
  </si>
  <si>
    <t>Spirits 2x375 ml</t>
  </si>
  <si>
    <t>MM1535</t>
  </si>
  <si>
    <t>Liqueur 3x20 ml</t>
  </si>
  <si>
    <t>MM2165</t>
  </si>
  <si>
    <t>Liqueur 3x200 ml</t>
  </si>
  <si>
    <t>MM2340</t>
  </si>
  <si>
    <t>Liqueur 3x375 ml</t>
  </si>
  <si>
    <t>MM2190</t>
  </si>
  <si>
    <t>Spirits 3x200 ml</t>
  </si>
  <si>
    <t>MM1743</t>
  </si>
  <si>
    <t>Spirits 3x40 ml</t>
  </si>
  <si>
    <t>MM1812</t>
  </si>
  <si>
    <t>Spirits 3x50 ml</t>
  </si>
  <si>
    <t>MM2270</t>
  </si>
  <si>
    <t>Liqueur 4x200 ml</t>
  </si>
  <si>
    <t>MM1754</t>
  </si>
  <si>
    <t>Liqueur 4x25 ml</t>
  </si>
  <si>
    <t>MM1862</t>
  </si>
  <si>
    <t>Liqueur 4x30 ml</t>
  </si>
  <si>
    <t>MM1915</t>
  </si>
  <si>
    <t>Liqueur 4x50 ml</t>
  </si>
  <si>
    <t>MM1921</t>
  </si>
  <si>
    <t>Liqueur 4x70 ml</t>
  </si>
  <si>
    <t>MM2015</t>
  </si>
  <si>
    <t>Spirits 4x200 ml</t>
  </si>
  <si>
    <t>MM1980</t>
  </si>
  <si>
    <t>Liqueur 5x50 ml</t>
  </si>
  <si>
    <t>MM2334</t>
  </si>
  <si>
    <t>Spirits 5x200 ml</t>
  </si>
  <si>
    <t>MM2054</t>
  </si>
  <si>
    <t>Spirits 5x50 ml</t>
  </si>
  <si>
    <t>MM1861</t>
  </si>
  <si>
    <t>Liqueur 6x30 ml</t>
  </si>
  <si>
    <t>MM2055</t>
  </si>
  <si>
    <t>Spirits 6x50 ml</t>
  </si>
  <si>
    <t>MM1699</t>
  </si>
  <si>
    <t>Liqueur 10x20 ml</t>
  </si>
  <si>
    <t>MM1700</t>
  </si>
  <si>
    <t>Liqueur 10x50 ml</t>
  </si>
  <si>
    <t>MM1940</t>
  </si>
  <si>
    <t>Spirits 10x20 ml</t>
  </si>
  <si>
    <t>MM2175</t>
  </si>
  <si>
    <t>Spirits 10x50 ml</t>
  </si>
  <si>
    <t>MM1863</t>
  </si>
  <si>
    <t>Liqueur 12x30 ml</t>
  </si>
  <si>
    <t>MM1864</t>
  </si>
  <si>
    <t>Liqueur 24x30 ml</t>
  </si>
  <si>
    <t>MM2176</t>
  </si>
  <si>
    <t>Spirits 25x50 ml</t>
  </si>
  <si>
    <t>MM1107</t>
  </si>
  <si>
    <t>Wine 100 ml</t>
  </si>
  <si>
    <t>MM1805</t>
  </si>
  <si>
    <t>Wine 1000 ml</t>
  </si>
  <si>
    <t>MM2355</t>
  </si>
  <si>
    <t>Wine 10000 ml</t>
  </si>
  <si>
    <t>MM2380</t>
  </si>
  <si>
    <t>Wine 12000 ml</t>
  </si>
  <si>
    <t>MM1950</t>
  </si>
  <si>
    <t>Wine 1500 ml</t>
  </si>
  <si>
    <t>MM2418</t>
  </si>
  <si>
    <t>Wine 15000 ml</t>
  </si>
  <si>
    <t>MM2420</t>
  </si>
  <si>
    <t>Wine 16000 ml</t>
  </si>
  <si>
    <t>MM1990</t>
  </si>
  <si>
    <t>Wine 1750 ml</t>
  </si>
  <si>
    <t>MM1985</t>
  </si>
  <si>
    <t>Wine 1800 ml</t>
  </si>
  <si>
    <t>MM2435</t>
  </si>
  <si>
    <t>Wine 18000 ml</t>
  </si>
  <si>
    <t>MM1383</t>
  </si>
  <si>
    <t>Wine 187 ml</t>
  </si>
  <si>
    <t>MM1384</t>
  </si>
  <si>
    <t>Wine 187.5 ml</t>
  </si>
  <si>
    <t>MM2436</t>
  </si>
  <si>
    <t>Wine 19000 ml</t>
  </si>
  <si>
    <t>MM2437</t>
  </si>
  <si>
    <t>Wine 19500 ml</t>
  </si>
  <si>
    <t>MM1422</t>
  </si>
  <si>
    <t>Wine 200 ml</t>
  </si>
  <si>
    <t>MM2025</t>
  </si>
  <si>
    <t>Wine 2000 ml</t>
  </si>
  <si>
    <t>MM2445</t>
  </si>
  <si>
    <t>Wine 20000 ml</t>
  </si>
  <si>
    <t>MM2525</t>
  </si>
  <si>
    <t>Wine 22000 ml</t>
  </si>
  <si>
    <t>MM1429</t>
  </si>
  <si>
    <t>Wine 250 ml</t>
  </si>
  <si>
    <t>MM2090</t>
  </si>
  <si>
    <t>Wine 2500 ml</t>
  </si>
  <si>
    <t>MM2105</t>
  </si>
  <si>
    <t>Wine 2750 ml</t>
  </si>
  <si>
    <t>MM2520</t>
  </si>
  <si>
    <t>Wine 28000 ml</t>
  </si>
  <si>
    <t>MM1434</t>
  </si>
  <si>
    <t>Wine 290 ml</t>
  </si>
  <si>
    <t>MM1435</t>
  </si>
  <si>
    <t>Wine 300 ml</t>
  </si>
  <si>
    <t>MM2130</t>
  </si>
  <si>
    <t>Wine 3000 ml</t>
  </si>
  <si>
    <t>MM1436</t>
  </si>
  <si>
    <t>Wine 330 ml</t>
  </si>
  <si>
    <t>MM1565</t>
  </si>
  <si>
    <t>Wine 350 ml</t>
  </si>
  <si>
    <t>MM1575</t>
  </si>
  <si>
    <t>Wine 375 ml</t>
  </si>
  <si>
    <t>MM2160</t>
  </si>
  <si>
    <t>Wine 4000 ml</t>
  </si>
  <si>
    <t>MM2252</t>
  </si>
  <si>
    <t>Wine 4500 ml</t>
  </si>
  <si>
    <t>MM1050</t>
  </si>
  <si>
    <t>Wine 50 ml</t>
  </si>
  <si>
    <t>MM1685</t>
  </si>
  <si>
    <t>Wine 500 ml</t>
  </si>
  <si>
    <t>MM2255</t>
  </si>
  <si>
    <t>Wine 5000 ml</t>
  </si>
  <si>
    <t>MM2300</t>
  </si>
  <si>
    <t>Wine 6000 ml</t>
  </si>
  <si>
    <t>MM1763</t>
  </si>
  <si>
    <t>Wine 620 ml</t>
  </si>
  <si>
    <t>MM1747</t>
  </si>
  <si>
    <t>Wine 700 ml</t>
  </si>
  <si>
    <t>MM1765</t>
  </si>
  <si>
    <t>Wine 720 ml</t>
  </si>
  <si>
    <t>MM1770</t>
  </si>
  <si>
    <t>Wine 730 ml</t>
  </si>
  <si>
    <t>MM1780</t>
  </si>
  <si>
    <t>Wine 750 ml</t>
  </si>
  <si>
    <t>MM1790</t>
  </si>
  <si>
    <t>Wine 900 ml</t>
  </si>
  <si>
    <t>MM2345</t>
  </si>
  <si>
    <t>Wine 9000 ml</t>
  </si>
  <si>
    <t>Package</t>
  </si>
  <si>
    <t>MM2045</t>
  </si>
  <si>
    <t>Wine 2x1000 ml</t>
  </si>
  <si>
    <t>MM1386</t>
  </si>
  <si>
    <t>Wine 2x187.5 ml</t>
  </si>
  <si>
    <t>MM1585</t>
  </si>
  <si>
    <t>Wine 2x200 ml</t>
  </si>
  <si>
    <t>MM1696</t>
  </si>
  <si>
    <t>Wine 2x375 ml</t>
  </si>
  <si>
    <t>MM2350</t>
  </si>
  <si>
    <t>Wine 2x4500 ml</t>
  </si>
  <si>
    <t>MM2000</t>
  </si>
  <si>
    <t>Wine 2x750 ml</t>
  </si>
  <si>
    <t>MM1735</t>
  </si>
  <si>
    <t>Wine 3x200 ml</t>
  </si>
  <si>
    <t>MM1932</t>
  </si>
  <si>
    <t>Wine 3x250 ml</t>
  </si>
  <si>
    <t>MM1965</t>
  </si>
  <si>
    <t>Wine 3x375 ml</t>
  </si>
  <si>
    <t>MM1328</t>
  </si>
  <si>
    <t>Wine 3x50 ml</t>
  </si>
  <si>
    <t>MM2120</t>
  </si>
  <si>
    <t>Wine 3x750 ml</t>
  </si>
  <si>
    <t>MM1825</t>
  </si>
  <si>
    <t>Wine 4x187 ml</t>
  </si>
  <si>
    <t>MM1826</t>
  </si>
  <si>
    <t>Wine 4x187.5 ml</t>
  </si>
  <si>
    <t>MM1865</t>
  </si>
  <si>
    <t>Wine 4x200 ml</t>
  </si>
  <si>
    <t>MM1931</t>
  </si>
  <si>
    <t>Wine 4x250 ml</t>
  </si>
  <si>
    <t>MM2053</t>
  </si>
  <si>
    <t>Wine 4x375 ml</t>
  </si>
  <si>
    <t>MM2125</t>
  </si>
  <si>
    <t>Wine 4x500 ml</t>
  </si>
  <si>
    <t>MM1960</t>
  </si>
  <si>
    <t>Wine 6x187 ml</t>
  </si>
  <si>
    <t>MM2065</t>
  </si>
  <si>
    <t>Wine 6x250 ml</t>
  </si>
  <si>
    <t>MM1329</t>
  </si>
  <si>
    <t>Wine 6x50 ml</t>
  </si>
  <si>
    <t>MM2225</t>
  </si>
  <si>
    <t>Wine 6x750 ml</t>
  </si>
  <si>
    <t>MM2370</t>
  </si>
  <si>
    <t>Wine 12x50 ml</t>
  </si>
  <si>
    <t>MM1093</t>
  </si>
  <si>
    <t>Refreshment Bev. 50 ml</t>
  </si>
  <si>
    <t>MM1567</t>
  </si>
  <si>
    <t>Refreshment Bev. 2x275 ml</t>
  </si>
  <si>
    <t>MM1095</t>
  </si>
  <si>
    <t>Refreshment Bev. 100 ml</t>
  </si>
  <si>
    <t>MM1364</t>
  </si>
  <si>
    <t>Refreshment Bev. 4x250 ml</t>
  </si>
  <si>
    <t>MM1097</t>
  </si>
  <si>
    <t>Refreshment Bev. 187 ml</t>
  </si>
  <si>
    <t>MM1801</t>
  </si>
  <si>
    <t>Refreshment Bev. 4x275 ml</t>
  </si>
  <si>
    <t>MM1257</t>
  </si>
  <si>
    <t>Refreshment Bev. 200 ml</t>
  </si>
  <si>
    <t>MM1814</t>
  </si>
  <si>
    <t>Refreshment Bev. 4x300 ml</t>
  </si>
  <si>
    <t>MM1335</t>
  </si>
  <si>
    <t>Refreshment Bev. 237 ml</t>
  </si>
  <si>
    <t>MM1815</t>
  </si>
  <si>
    <t>Refreshment Bev. 4x330 ml</t>
  </si>
  <si>
    <t>MM1363</t>
  </si>
  <si>
    <t>Refreshment Bev. 250 ml</t>
  </si>
  <si>
    <t>MM1820</t>
  </si>
  <si>
    <t>Refreshment Bev. 4x333 ml</t>
  </si>
  <si>
    <t>MM1365</t>
  </si>
  <si>
    <t>Refreshment Bev. 270 ml</t>
  </si>
  <si>
    <t>MM1840</t>
  </si>
  <si>
    <t>Refreshment Bev. 4x340 ml</t>
  </si>
  <si>
    <t>MM1370</t>
  </si>
  <si>
    <t>Refreshment Bev. 275 ml</t>
  </si>
  <si>
    <t>MM1845</t>
  </si>
  <si>
    <t>Refreshment Bev. 4x341 ml</t>
  </si>
  <si>
    <t>MM1419</t>
  </si>
  <si>
    <t>Refreshment Bev. 296 ml</t>
  </si>
  <si>
    <t>MM1850</t>
  </si>
  <si>
    <t>Refreshment Bev. 4x355 ml</t>
  </si>
  <si>
    <t>MM1420</t>
  </si>
  <si>
    <t>Refreshment Bev. 300 ml</t>
  </si>
  <si>
    <t>MM1546</t>
  </si>
  <si>
    <t>Refreshment Bev. 4x400 ml</t>
  </si>
  <si>
    <t>MM1430</t>
  </si>
  <si>
    <t>Refreshment Bev. 330 ml</t>
  </si>
  <si>
    <t>MM1548</t>
  </si>
  <si>
    <t>Refreshment Bev. 4x473 ml</t>
  </si>
  <si>
    <t>MM1438</t>
  </si>
  <si>
    <t>Refreshment Bev. 333 ml</t>
  </si>
  <si>
    <t>MM1859</t>
  </si>
  <si>
    <t>Refreshment Bev. 4x500 ml</t>
  </si>
  <si>
    <t>MM1440</t>
  </si>
  <si>
    <t>Refreshment Bev. 341 ml</t>
  </si>
  <si>
    <t>MM1875</t>
  </si>
  <si>
    <t>Refreshment Bev. 6x330 ml</t>
  </si>
  <si>
    <t>MM1450</t>
  </si>
  <si>
    <t>Refreshment Bev. 355 ml</t>
  </si>
  <si>
    <t>MM1920</t>
  </si>
  <si>
    <t>Refreshment Bev. 6x341 ml</t>
  </si>
  <si>
    <t>MM1451</t>
  </si>
  <si>
    <t>Refreshment Bev. 360 ml</t>
  </si>
  <si>
    <t>MM1945</t>
  </si>
  <si>
    <t>Refreshment Bev. 6x355 ml</t>
  </si>
  <si>
    <t>MM1455</t>
  </si>
  <si>
    <t>Refreshment Bev. 375 ml</t>
  </si>
  <si>
    <t>MM2114</t>
  </si>
  <si>
    <t>Refreshment Bev. 8x330 ml</t>
  </si>
  <si>
    <t>MM1543</t>
  </si>
  <si>
    <t>Refreshment Bev. 400 ml</t>
  </si>
  <si>
    <t>MM1970</t>
  </si>
  <si>
    <t>Refreshment Bev. 8x341 ml</t>
  </si>
  <si>
    <t>MM1544</t>
  </si>
  <si>
    <t>Refreshment Bev. 440 ml</t>
  </si>
  <si>
    <t>MM1946</t>
  </si>
  <si>
    <t>Refreshment Bev. 8x355 ml</t>
  </si>
  <si>
    <t>MM1547</t>
  </si>
  <si>
    <t>Refreshment Bev. 458 ml</t>
  </si>
  <si>
    <t>MM1549</t>
  </si>
  <si>
    <t>Refreshment Bev. 8x440 ml</t>
  </si>
  <si>
    <t>MM1545</t>
  </si>
  <si>
    <t>Refreshment Bev. 473 ml</t>
  </si>
  <si>
    <t>MM1541</t>
  </si>
  <si>
    <t>Refreshment Bev. 8x500 ml</t>
  </si>
  <si>
    <t>MM1550</t>
  </si>
  <si>
    <t>Refreshment Bev. 500 ml</t>
  </si>
  <si>
    <t>MM1259</t>
  </si>
  <si>
    <t>Refreshment Bev. 12x236 ml</t>
  </si>
  <si>
    <t>MM1590</t>
  </si>
  <si>
    <t>Refreshment Bev. 650 ml</t>
  </si>
  <si>
    <t>MM2115</t>
  </si>
  <si>
    <t>Refreshment Bev. 12x330 ml</t>
  </si>
  <si>
    <t>MM1591</t>
  </si>
  <si>
    <t>Refreshment Bev. 695 ml</t>
  </si>
  <si>
    <t>MM2138</t>
  </si>
  <si>
    <t>Refreshment Bev. 12x341ml</t>
  </si>
  <si>
    <t>MM1615</t>
  </si>
  <si>
    <t>Refreshment Bev. 700 ml</t>
  </si>
  <si>
    <t>MM2140</t>
  </si>
  <si>
    <t>Refreshment Bev. 12x355 ml</t>
  </si>
  <si>
    <t>MM1617</t>
  </si>
  <si>
    <t>Refreshment Bev. 710 ml</t>
  </si>
  <si>
    <t>MM2118</t>
  </si>
  <si>
    <t>Refreshment Bev. 24X330 ml</t>
  </si>
  <si>
    <t>MM1620</t>
  </si>
  <si>
    <t>Refreshment Bev. 720 ml</t>
  </si>
  <si>
    <t>MM2305</t>
  </si>
  <si>
    <t>Refreshment Bev. 24x355 ml</t>
  </si>
  <si>
    <t>MM1650</t>
  </si>
  <si>
    <t>Refreshment Bev. 750 ml</t>
  </si>
  <si>
    <t>MM2307</t>
  </si>
  <si>
    <t>Refreshment Bev. 24x400 ml</t>
  </si>
  <si>
    <t>MM1720</t>
  </si>
  <si>
    <t>Refreshment Bev. 910 ml</t>
  </si>
  <si>
    <t>MM1740</t>
  </si>
  <si>
    <t>Refreshment Bev. 946 ml</t>
  </si>
  <si>
    <t>MM1775</t>
  </si>
  <si>
    <t>Refreshment Bev. 1000 ml</t>
  </si>
  <si>
    <t>MM1768</t>
  </si>
  <si>
    <t>Refreshment Bev. 1140 ml</t>
  </si>
  <si>
    <t>MM1870</t>
  </si>
  <si>
    <t>Refreshment Bev. 1500 ml</t>
  </si>
  <si>
    <t>MM1873</t>
  </si>
  <si>
    <t>Refreshment Bev. 1750 ml</t>
  </si>
  <si>
    <t>MM1874</t>
  </si>
  <si>
    <t>Refreshment Bev. 1890 ml</t>
  </si>
  <si>
    <t>MM1890</t>
  </si>
  <si>
    <t>Refreshment Bev. 2000 ml</t>
  </si>
  <si>
    <t>MM2010</t>
  </si>
  <si>
    <t>Refreshment Bev. 3000 ml</t>
  </si>
  <si>
    <t>MM2095</t>
  </si>
  <si>
    <t>Refreshment Bev. 4000 ml</t>
  </si>
  <si>
    <t>MM2551</t>
  </si>
  <si>
    <t>Refreshment Bev. 19500 ml</t>
  </si>
  <si>
    <t>MM2554</t>
  </si>
  <si>
    <t>Refreshment Bev. 20000 ml</t>
  </si>
  <si>
    <t>MM2552</t>
  </si>
  <si>
    <t>Refreshment Bev. 25000 ml</t>
  </si>
  <si>
    <t>MM2556</t>
  </si>
  <si>
    <t>Refreshment Bev. 30000 ml</t>
  </si>
  <si>
    <t>MM2550</t>
  </si>
  <si>
    <t>Refreshment Bev. 50000 ml</t>
  </si>
  <si>
    <t>MM2553</t>
  </si>
  <si>
    <t>Refreshment Bev. 58500 ml</t>
  </si>
  <si>
    <t>MM2555</t>
  </si>
  <si>
    <t>Refreshment Bev. 58600 ml</t>
  </si>
  <si>
    <t>Singles - Cans</t>
  </si>
  <si>
    <t>Singles - Bottles</t>
  </si>
  <si>
    <t>Kegs</t>
  </si>
  <si>
    <t>Package - Bottles</t>
  </si>
  <si>
    <t>Package - Cans</t>
  </si>
  <si>
    <t>MM1461</t>
  </si>
  <si>
    <t>Beer Cans 1000 ml</t>
  </si>
  <si>
    <t>Can</t>
  </si>
  <si>
    <t>MM1542</t>
  </si>
  <si>
    <t>Beer Bottles 1000 ml</t>
  </si>
  <si>
    <t>Bottle</t>
  </si>
  <si>
    <t>MM2558</t>
  </si>
  <si>
    <t>Beer Keg 19000 ml</t>
  </si>
  <si>
    <t>Keg</t>
  </si>
  <si>
    <t>MM1425</t>
  </si>
  <si>
    <t>Beer Bottles 2x341 ml</t>
  </si>
  <si>
    <t>MM1405</t>
  </si>
  <si>
    <t>Beer Cans 6x135 ml</t>
  </si>
  <si>
    <t>MM2170</t>
  </si>
  <si>
    <t>Beer Cans 10000 ml</t>
  </si>
  <si>
    <t>MM1555</t>
  </si>
  <si>
    <t>Beer Bottles 1183 ml</t>
  </si>
  <si>
    <t>MM2557</t>
  </si>
  <si>
    <t>Beer Keg 19600 ml</t>
  </si>
  <si>
    <t>MM1540</t>
  </si>
  <si>
    <t>Beer Bottles 3x330 ml</t>
  </si>
  <si>
    <t>MM1271</t>
  </si>
  <si>
    <t>Beer Cans 2x500 ml</t>
  </si>
  <si>
    <t>MM1084</t>
  </si>
  <si>
    <t>Beer Cans 250 ml</t>
  </si>
  <si>
    <t>MM1635</t>
  </si>
  <si>
    <t>Beer Bottles 1500 ml</t>
  </si>
  <si>
    <t>MM2560</t>
  </si>
  <si>
    <t>Beer Keg 20000 ml</t>
  </si>
  <si>
    <t>MM1428</t>
  </si>
  <si>
    <t>Beer Bottles 2x500 ml</t>
  </si>
  <si>
    <t>MM1341</t>
  </si>
  <si>
    <t>Beer Can 2x650 ml</t>
  </si>
  <si>
    <t>MM1135</t>
  </si>
  <si>
    <t>Beer Cans 330 ml</t>
  </si>
  <si>
    <t>MM1082</t>
  </si>
  <si>
    <t>Beer Bottles 200 ml</t>
  </si>
  <si>
    <t>MM2561</t>
  </si>
  <si>
    <t>Beer Keg 25000 ml</t>
  </si>
  <si>
    <t>MM1120</t>
  </si>
  <si>
    <t>Beer Bottles 4x250 ml</t>
  </si>
  <si>
    <t>MM1893</t>
  </si>
  <si>
    <t>Beer Cans 3x440 ml</t>
  </si>
  <si>
    <t>MM1145</t>
  </si>
  <si>
    <t>Beer Cans 335 ml</t>
  </si>
  <si>
    <t>MM1750</t>
  </si>
  <si>
    <t>Beer Bottles 2000 ml</t>
  </si>
  <si>
    <t>MM2559</t>
  </si>
  <si>
    <t>Beer Keg 30000 ml</t>
  </si>
  <si>
    <t>MM1426</t>
  </si>
  <si>
    <t>Beer Bottles 2x650 ml</t>
  </si>
  <si>
    <t>MM1883</t>
  </si>
  <si>
    <t>Beer Cans 4x330 ml</t>
  </si>
  <si>
    <t>MM1150</t>
  </si>
  <si>
    <t>Beer Cans 340 ml</t>
  </si>
  <si>
    <t>MM1086</t>
  </si>
  <si>
    <t>Beer Bottles 207 ml</t>
  </si>
  <si>
    <t>MM2410</t>
  </si>
  <si>
    <t>Beer Keg 40910 ml</t>
  </si>
  <si>
    <t>MM2106</t>
  </si>
  <si>
    <t>Beer Bottles 4x330 ml</t>
  </si>
  <si>
    <t>MM1884</t>
  </si>
  <si>
    <t>Beer Cans 3x473 ml</t>
  </si>
  <si>
    <t>MM1155</t>
  </si>
  <si>
    <t>Beer Cans 341 ml</t>
  </si>
  <si>
    <t>MM1110</t>
  </si>
  <si>
    <t>Beer Bottles 222 ml</t>
  </si>
  <si>
    <t>MM2415</t>
  </si>
  <si>
    <t>Beer Keg 45460 ml</t>
  </si>
  <si>
    <t>MM1560</t>
  </si>
  <si>
    <t>Beer Bottles 4x341 ml</t>
  </si>
  <si>
    <t>MM1641</t>
  </si>
  <si>
    <t>Beer Cans 4x473 ml</t>
  </si>
  <si>
    <t>MM1162</t>
  </si>
  <si>
    <t>Beer Cans 354 ml</t>
  </si>
  <si>
    <t>MM1115</t>
  </si>
  <si>
    <t>Beer Bottles 250 ml</t>
  </si>
  <si>
    <t>MM2430</t>
  </si>
  <si>
    <t>Beer Keg 50000 ml</t>
  </si>
  <si>
    <t>MM1786</t>
  </si>
  <si>
    <t>Beer Bottles 4x355 ml</t>
  </si>
  <si>
    <t>MM1660</t>
  </si>
  <si>
    <t>Beer Cans 6x330 ml</t>
  </si>
  <si>
    <t>MM1165</t>
  </si>
  <si>
    <t>Beer Cans 355 ml</t>
  </si>
  <si>
    <t>MM1130</t>
  </si>
  <si>
    <t>Beer Bottles 275 ml</t>
  </si>
  <si>
    <t>MM2460</t>
  </si>
  <si>
    <t>Beer Keg 58600 ml</t>
  </si>
  <si>
    <t>MM1447</t>
  </si>
  <si>
    <t>Beer Bottles 2X750 ml</t>
  </si>
  <si>
    <t>MM1675</t>
  </si>
  <si>
    <t>Beer Cans 6x341 ml</t>
  </si>
  <si>
    <t>MM1175</t>
  </si>
  <si>
    <t>Beer Cans 375 ml</t>
  </si>
  <si>
    <t>MM1170</t>
  </si>
  <si>
    <t>Beer Bottles 300 ml</t>
  </si>
  <si>
    <t>MM2465</t>
  </si>
  <si>
    <t>Beer Keg 58668 ml</t>
  </si>
  <si>
    <t>MM1424</t>
  </si>
  <si>
    <t>Beer Bottles 3x500 ml</t>
  </si>
  <si>
    <t>MM1692</t>
  </si>
  <si>
    <t>Beer Cans 6x354 ml</t>
  </si>
  <si>
    <t>MM1239</t>
  </si>
  <si>
    <t>Beer Cans 440 ml</t>
  </si>
  <si>
    <t>MM1195</t>
  </si>
  <si>
    <t>Beer Bottles 320 ml</t>
  </si>
  <si>
    <t>MM1645</t>
  </si>
  <si>
    <t>Beer PET 2000 ml</t>
  </si>
  <si>
    <t>Pet</t>
  </si>
  <si>
    <t>MM1655</t>
  </si>
  <si>
    <t>Beer Bottles 6x250 ml</t>
  </si>
  <si>
    <t>MM1695</t>
  </si>
  <si>
    <t>Beer Cans 6x355 ml</t>
  </si>
  <si>
    <t>MM1245</t>
  </si>
  <si>
    <t>Beer Cans 450 ml</t>
  </si>
  <si>
    <t>MM1205</t>
  </si>
  <si>
    <t>Beer Bottles 325 ml</t>
  </si>
  <si>
    <t>MM1658</t>
  </si>
  <si>
    <t>Beer Bottles 6x275 ml</t>
  </si>
  <si>
    <t>MM1640</t>
  </si>
  <si>
    <t>Beer Cans 6x473 ml</t>
  </si>
  <si>
    <t>MM1265</t>
  </si>
  <si>
    <t>Beer Cans 473 ml</t>
  </si>
  <si>
    <t>MM1215</t>
  </si>
  <si>
    <t>Beer Bottles 330 ml</t>
  </si>
  <si>
    <t>MM1680</t>
  </si>
  <si>
    <t>Beer Bottles 6x330 ml</t>
  </si>
  <si>
    <t>MM1887</t>
  </si>
  <si>
    <t>Beer Cans 10x330 ml</t>
  </si>
  <si>
    <t>MM1270</t>
  </si>
  <si>
    <t>Beer Cans 500 ml</t>
  </si>
  <si>
    <t>MM1217</t>
  </si>
  <si>
    <t>Beer Bottles 334 ml</t>
  </si>
  <si>
    <t>MM2104</t>
  </si>
  <si>
    <t>Beer Bottles 4x500 ml</t>
  </si>
  <si>
    <t>MM1885</t>
  </si>
  <si>
    <t>Beer Cans 8x440 ml</t>
  </si>
  <si>
    <t>MM1975</t>
  </si>
  <si>
    <t>Beer Cans 5000 ml</t>
  </si>
  <si>
    <t>MM1220</t>
  </si>
  <si>
    <t>Beer Bottles 341 ml</t>
  </si>
  <si>
    <t>MM1690</t>
  </si>
  <si>
    <t>Beer Bottles 6x341 ml</t>
  </si>
  <si>
    <t>MM1882</t>
  </si>
  <si>
    <t>Beer Cans 8x473 ml</t>
  </si>
  <si>
    <t>MM1272</t>
  </si>
  <si>
    <t>Beer Cans 568 ml</t>
  </si>
  <si>
    <t>MM1225</t>
  </si>
  <si>
    <t>Beer Bottles 345 ml</t>
  </si>
  <si>
    <t>MM1705</t>
  </si>
  <si>
    <t>Beer Bottles 6x355 ml</t>
  </si>
  <si>
    <t>MM1889</t>
  </si>
  <si>
    <t>Beer Cans 12x330 ml</t>
  </si>
  <si>
    <t>MM1340</t>
  </si>
  <si>
    <t>Beer Cans 650 ml</t>
  </si>
  <si>
    <t>MM1237</t>
  </si>
  <si>
    <t>Beer Bottles 350 ml</t>
  </si>
  <si>
    <t>MM1446</t>
  </si>
  <si>
    <t>Beer Bottles 3X750 ml</t>
  </si>
  <si>
    <t>MM1665</t>
  </si>
  <si>
    <t>Beer Cans 2000 ml</t>
  </si>
  <si>
    <t>MM1345</t>
  </si>
  <si>
    <t>Beer Cans 710 ml</t>
  </si>
  <si>
    <t>MM1240</t>
  </si>
  <si>
    <t>Beer Bottles 354 ml</t>
  </si>
  <si>
    <t>MM1710</t>
  </si>
  <si>
    <t>Beer Bottles 6x375 ml</t>
  </si>
  <si>
    <t>MM1273</t>
  </si>
  <si>
    <t>Beer Cans 8x500 ml</t>
  </si>
  <si>
    <t>MM1342</t>
  </si>
  <si>
    <t>Beer Cans 740 ml</t>
  </si>
  <si>
    <t>MM1242</t>
  </si>
  <si>
    <t>Beer Bottles 355 ml</t>
  </si>
  <si>
    <t>MM1376</t>
  </si>
  <si>
    <t>Beer Bottles 4x600 ml</t>
  </si>
  <si>
    <t>MM1976</t>
  </si>
  <si>
    <t>Beer Cans 12x340 ml</t>
  </si>
  <si>
    <t>MM1255</t>
  </si>
  <si>
    <t>Beer Bottles 375 ml</t>
  </si>
  <si>
    <t>MM2108</t>
  </si>
  <si>
    <t>Beer Bottles 5x500 ml</t>
  </si>
  <si>
    <t>MM1888</t>
  </si>
  <si>
    <t>Beer Cans 12x341 ml</t>
  </si>
  <si>
    <t>MM1290</t>
  </si>
  <si>
    <t>Beer Bottles 440 ml</t>
  </si>
  <si>
    <t>MM1785</t>
  </si>
  <si>
    <t>Beer Bottles 8x330 ml</t>
  </si>
  <si>
    <t>MM1894</t>
  </si>
  <si>
    <t>Beer Cans 9x473 ml</t>
  </si>
  <si>
    <t>MM1296</t>
  </si>
  <si>
    <t>Beer Bottles 450 ml</t>
  </si>
  <si>
    <t>MM2109</t>
  </si>
  <si>
    <t>Beer Bottles 6x500 ml</t>
  </si>
  <si>
    <t>MM1902</t>
  </si>
  <si>
    <t>Beer Cans 12x355 ml</t>
  </si>
  <si>
    <t>MM1305</t>
  </si>
  <si>
    <t>Beer Bottles 473 ml</t>
  </si>
  <si>
    <t>MM1681</t>
  </si>
  <si>
    <t>Beer Bottles 12x330 ml</t>
  </si>
  <si>
    <t>MM1891</t>
  </si>
  <si>
    <t>Beer Cans 15x355 ml</t>
  </si>
  <si>
    <t>MM1325</t>
  </si>
  <si>
    <t>Beer Bottles 500 ml</t>
  </si>
  <si>
    <t>MM1910</t>
  </si>
  <si>
    <t>Beer Bottles 12x341 ml</t>
  </si>
  <si>
    <t>MM1886</t>
  </si>
  <si>
    <t>Beer Cans 24x330 ml</t>
  </si>
  <si>
    <t>MM1350</t>
  </si>
  <si>
    <t>Beer Bottles 550 ml</t>
  </si>
  <si>
    <t>MM1935</t>
  </si>
  <si>
    <t>Beer Bottles 12x355 ml</t>
  </si>
  <si>
    <t>MM1901</t>
  </si>
  <si>
    <t>Beer Cans 24x355 ml</t>
  </si>
  <si>
    <t>MM1360</t>
  </si>
  <si>
    <t>Beer Bottles 568 ml</t>
  </si>
  <si>
    <t>MM2113</t>
  </si>
  <si>
    <t>Beer Bottle 18x330 ml</t>
  </si>
  <si>
    <t>MM1903</t>
  </si>
  <si>
    <t>Beer Cans 30x296 ml</t>
  </si>
  <si>
    <t>MM1375</t>
  </si>
  <si>
    <t>Beer Bottles 600 ml</t>
  </si>
  <si>
    <t>MM2122</t>
  </si>
  <si>
    <t>Beer Bottles 12X500 ml</t>
  </si>
  <si>
    <t>MM1892</t>
  </si>
  <si>
    <t>Beer Cans 24x473 ml</t>
  </si>
  <si>
    <t>MM1377</t>
  </si>
  <si>
    <t>Beer Bottles 625 ml</t>
  </si>
  <si>
    <t>MM2117</t>
  </si>
  <si>
    <t>Beer Bottle 20X330 ml</t>
  </si>
  <si>
    <t>MM1899</t>
  </si>
  <si>
    <t>Beer Cans 36x355 ml</t>
  </si>
  <si>
    <t>MM1380</t>
  </si>
  <si>
    <t>Beer Bottles 630 ml</t>
  </si>
  <si>
    <t>MM2102</t>
  </si>
  <si>
    <t>Beer Bottles 24x330 ml</t>
  </si>
  <si>
    <t>MM1385</t>
  </si>
  <si>
    <t>Beer Bottles 633 ml</t>
  </si>
  <si>
    <t>MM2101</t>
  </si>
  <si>
    <t>Beer Bottles 24x341 ml</t>
  </si>
  <si>
    <t>MM1395</t>
  </si>
  <si>
    <t>Beer Bottles 640 ml</t>
  </si>
  <si>
    <t>MM2103</t>
  </si>
  <si>
    <t>Beer Bottles 24x355 ml</t>
  </si>
  <si>
    <t>MM1410</t>
  </si>
  <si>
    <t>Beer Bottles 650 ml</t>
  </si>
  <si>
    <t>MM1415</t>
  </si>
  <si>
    <t>Beer Bottles 658 ml</t>
  </si>
  <si>
    <t>MM1417</t>
  </si>
  <si>
    <t>Beer Bottles 660 ml</t>
  </si>
  <si>
    <t>MM1427</t>
  </si>
  <si>
    <t>Beer Bottles 710 ml</t>
  </si>
  <si>
    <t>MM1445</t>
  </si>
  <si>
    <t>Beer Bottles 750 ml</t>
  </si>
  <si>
    <t>MM1448</t>
  </si>
  <si>
    <t>Beer Bottles 765 ml</t>
  </si>
  <si>
    <t>MM1517</t>
  </si>
  <si>
    <t>Beer Bottles 909 ml</t>
  </si>
  <si>
    <t>MM1525</t>
  </si>
  <si>
    <t>Beer Bottles 946 ml</t>
  </si>
  <si>
    <t>Social Reference Price per Litre of Absolute Alcohol for all Categories and Pack Sizes</t>
  </si>
  <si>
    <t>Total Volume</t>
  </si>
  <si>
    <t>Low</t>
  </si>
  <si>
    <t>High</t>
  </si>
  <si>
    <t>Cost per Litre of Absolute Alcohol</t>
  </si>
  <si>
    <t>Spirits</t>
  </si>
  <si>
    <t>&lt;100 mL</t>
  </si>
  <si>
    <t>100-300 mL</t>
  </si>
  <si>
    <t>300-400 mL</t>
  </si>
  <si>
    <t>400-700 mL</t>
  </si>
  <si>
    <t>&gt;=700 mL</t>
  </si>
  <si>
    <t>Beer</t>
  </si>
  <si>
    <t>&lt;10,000 L</t>
  </si>
  <si>
    <t>10,000-20,000 L</t>
  </si>
  <si>
    <t>&gt;=20,000 L</t>
  </si>
  <si>
    <t>Refreshment Beverages</t>
  </si>
  <si>
    <t>100-250 mL</t>
  </si>
  <si>
    <t>250-400 mL</t>
  </si>
  <si>
    <t>Wine</t>
  </si>
  <si>
    <t>100-375 mL</t>
  </si>
  <si>
    <t>375-700 mL</t>
  </si>
  <si>
    <t>700-4,000 mL</t>
  </si>
  <si>
    <t>&gt;=4,000 mL</t>
  </si>
  <si>
    <t>Fortified Wine</t>
  </si>
  <si>
    <t>Other Wine</t>
  </si>
  <si>
    <t>Manitoba Liquor &amp; Lotteries</t>
  </si>
  <si>
    <t>Trial Pricing Calculator</t>
  </si>
  <si>
    <t>Product Information</t>
  </si>
  <si>
    <t>Product Category</t>
  </si>
  <si>
    <t>Sub-Type</t>
  </si>
  <si>
    <t>Case Cost</t>
  </si>
  <si>
    <t>Currency</t>
  </si>
  <si>
    <t>Alcohol Percent (%)</t>
  </si>
  <si>
    <t>Product Ship Point</t>
  </si>
  <si>
    <t>Duty Type</t>
  </si>
  <si>
    <t>Retail Price</t>
  </si>
  <si>
    <t>Base Unit Price</t>
  </si>
  <si>
    <t>Standard freight rate/L</t>
  </si>
  <si>
    <t>Customs Duty</t>
  </si>
  <si>
    <t>Excise Duty</t>
  </si>
  <si>
    <t>Markup</t>
  </si>
  <si>
    <t>Per Package Surcharge</t>
  </si>
  <si>
    <t>Equalization Charge</t>
  </si>
  <si>
    <t>Final Retail Price</t>
  </si>
  <si>
    <r>
      <t>Social Reference Price (SRP)</t>
    </r>
    <r>
      <rPr>
        <b/>
        <sz val="6"/>
        <color theme="0"/>
        <rFont val="Calibri"/>
        <family val="2"/>
        <scheme val="minor"/>
      </rPr>
      <t>3</t>
    </r>
  </si>
  <si>
    <t>Notes</t>
  </si>
  <si>
    <t>Duty Type:</t>
  </si>
  <si>
    <r>
      <t xml:space="preserve">     Customs: </t>
    </r>
    <r>
      <rPr>
        <sz val="10"/>
        <color theme="1"/>
        <rFont val="Calibri"/>
        <family val="2"/>
        <scheme val="minor"/>
      </rPr>
      <t>MBLL to pick up outside of Canada</t>
    </r>
  </si>
  <si>
    <r>
      <t xml:space="preserve">  </t>
    </r>
    <r>
      <rPr>
        <i/>
        <sz val="10"/>
        <color theme="1"/>
        <rFont val="Calibri"/>
        <family val="2"/>
        <scheme val="minor"/>
      </rPr>
      <t xml:space="preserve">   Excise: </t>
    </r>
    <r>
      <rPr>
        <sz val="10"/>
        <color theme="1"/>
        <rFont val="Calibri"/>
        <family val="2"/>
        <scheme val="minor"/>
      </rPr>
      <t>MBLL to pick up within Canada to clear Federal excise tax</t>
    </r>
  </si>
  <si>
    <r>
      <t xml:space="preserve">     </t>
    </r>
    <r>
      <rPr>
        <i/>
        <sz val="10"/>
        <color theme="1"/>
        <rFont val="Calibri"/>
        <family val="2"/>
        <scheme val="minor"/>
      </rPr>
      <t>Duty Paid:</t>
    </r>
    <r>
      <rPr>
        <sz val="10"/>
        <color theme="1"/>
        <rFont val="Calibri"/>
        <family val="2"/>
        <scheme val="minor"/>
      </rPr>
      <t xml:space="preserve"> MBLL to pick up within in Canada and Supplier to clear </t>
    </r>
  </si>
  <si>
    <t xml:space="preserve">          federal excise tax</t>
  </si>
  <si>
    <r>
      <t xml:space="preserve">Social Reference Pricing (SRP): </t>
    </r>
    <r>
      <rPr>
        <sz val="10"/>
        <color theme="1"/>
        <rFont val="Calibri"/>
        <family val="2"/>
        <scheme val="minor"/>
      </rPr>
      <t>Minimum retail price at which products can</t>
    </r>
  </si>
  <si>
    <t xml:space="preserve">     be sold, before tax and deposit</t>
  </si>
  <si>
    <t>How to Achieve a Specific Retail</t>
  </si>
  <si>
    <r>
      <t xml:space="preserve">Step 1: </t>
    </r>
    <r>
      <rPr>
        <sz val="10"/>
        <color theme="1"/>
        <rFont val="Calibri"/>
        <family val="2"/>
        <scheme val="minor"/>
      </rPr>
      <t>Fill in the product information fields</t>
    </r>
  </si>
  <si>
    <r>
      <t xml:space="preserve">Step 4: </t>
    </r>
    <r>
      <rPr>
        <sz val="10"/>
        <color theme="1"/>
        <rFont val="Calibri"/>
        <family val="2"/>
        <scheme val="minor"/>
      </rPr>
      <t>Enter the fields as follows:</t>
    </r>
  </si>
  <si>
    <t>To Value: Enter desired retail</t>
  </si>
  <si>
    <r>
      <t>Step 5</t>
    </r>
    <r>
      <rPr>
        <sz val="10"/>
        <color theme="1"/>
        <rFont val="Calibri"/>
        <family val="2"/>
        <scheme val="minor"/>
      </rPr>
      <t>: Click "OK" and click "OK" again</t>
    </r>
  </si>
  <si>
    <t xml:space="preserve">Product Category </t>
  </si>
  <si>
    <t>Micro Status</t>
  </si>
  <si>
    <t xml:space="preserve">Freight </t>
  </si>
  <si>
    <t>Micro Level</t>
  </si>
  <si>
    <t>Rate</t>
  </si>
  <si>
    <t>Container Type</t>
  </si>
  <si>
    <t>Canada Zones</t>
  </si>
  <si>
    <t>Canada Rates</t>
  </si>
  <si>
    <t>American  Zones</t>
  </si>
  <si>
    <t>American Rates</t>
  </si>
  <si>
    <t>International   Zones</t>
  </si>
  <si>
    <t>International Rates</t>
  </si>
  <si>
    <t>Spirit</t>
  </si>
  <si>
    <t>Ref. Bev</t>
  </si>
  <si>
    <t>Beer Singles</t>
  </si>
  <si>
    <t>Beer Package</t>
  </si>
  <si>
    <t>Canada</t>
  </si>
  <si>
    <t>International</t>
  </si>
  <si>
    <t>Refreshment Beverage</t>
  </si>
  <si>
    <t>Brandy/Cognac</t>
  </si>
  <si>
    <t>Sake</t>
  </si>
  <si>
    <t>Cider</t>
  </si>
  <si>
    <t>Yes</t>
  </si>
  <si>
    <t>CAD</t>
  </si>
  <si>
    <t>Quebec Zone 1 - Montreal/Pointe Claire</t>
  </si>
  <si>
    <t>Arkansas</t>
  </si>
  <si>
    <t>Argentina</t>
  </si>
  <si>
    <t>Excise</t>
  </si>
  <si>
    <t>Customs</t>
  </si>
  <si>
    <t>Gin</t>
  </si>
  <si>
    <t>Sparkling Wine</t>
  </si>
  <si>
    <t>Spirit Cooler</t>
  </si>
  <si>
    <t>No</t>
  </si>
  <si>
    <t>AUD</t>
  </si>
  <si>
    <t>USA</t>
  </si>
  <si>
    <t>Quebec Zone 2 - Montreal/Wine Totes</t>
  </si>
  <si>
    <t>California - Modesto - Gallo</t>
  </si>
  <si>
    <t>Duty Paid</t>
  </si>
  <si>
    <t>Liqueur</t>
  </si>
  <si>
    <t>Wine Cooler</t>
  </si>
  <si>
    <t>EUR</t>
  </si>
  <si>
    <t>Quebec Zone 3 - SAQ &amp; Misc.</t>
  </si>
  <si>
    <t>California - American Canyon</t>
  </si>
  <si>
    <t>Australia (Exworks)</t>
  </si>
  <si>
    <t>Miscellaneous Spirit</t>
  </si>
  <si>
    <t>NZD</t>
  </si>
  <si>
    <t>Quebec Zone 4 - Valleyfield</t>
  </si>
  <si>
    <t>Illinois</t>
  </si>
  <si>
    <t>Austria</t>
  </si>
  <si>
    <t>Singles</t>
  </si>
  <si>
    <t>Bottles</t>
  </si>
  <si>
    <t>Rum</t>
  </si>
  <si>
    <t>All Other Wine</t>
  </si>
  <si>
    <t>RAND</t>
  </si>
  <si>
    <t>Ontario Zone 1 - Brampton-Bacardi</t>
  </si>
  <si>
    <t>Indiana</t>
  </si>
  <si>
    <t>Belgium</t>
  </si>
  <si>
    <t>Natural Markup</t>
  </si>
  <si>
    <t>Tequila</t>
  </si>
  <si>
    <t>GBP</t>
  </si>
  <si>
    <t>Ontario Zone 2 - Hamilton/Niagara</t>
  </si>
  <si>
    <t>Kentucky</t>
  </si>
  <si>
    <t xml:space="preserve">Chile </t>
  </si>
  <si>
    <t>Vodka</t>
  </si>
  <si>
    <t>USD</t>
  </si>
  <si>
    <t>Maine</t>
  </si>
  <si>
    <t>Czech Republic</t>
  </si>
  <si>
    <t>Whisk(e)y</t>
  </si>
  <si>
    <t>Ontario Zone 4 - Windsor/Walkerville, Corby</t>
  </si>
  <si>
    <t xml:space="preserve">Maryland </t>
  </si>
  <si>
    <t>Denmark</t>
  </si>
  <si>
    <t>Ontario Zone 5 - Winona/Grimsby</t>
  </si>
  <si>
    <t>Michigan</t>
  </si>
  <si>
    <t>France</t>
  </si>
  <si>
    <t>Ontario Zone 6 - Ontario Misc.</t>
  </si>
  <si>
    <t>Minnesota</t>
  </si>
  <si>
    <t>Germany (FCA,FOB)</t>
  </si>
  <si>
    <t>Cans</t>
  </si>
  <si>
    <t xml:space="preserve">Missouri </t>
  </si>
  <si>
    <t>Germany (Exworks)</t>
  </si>
  <si>
    <t>Alberta Zone 2 - Calgary</t>
  </si>
  <si>
    <t>New Jersey</t>
  </si>
  <si>
    <t>Greece</t>
  </si>
  <si>
    <t>Alberta Zone 3 - Lethbridge</t>
  </si>
  <si>
    <t>New York</t>
  </si>
  <si>
    <t>Hungary</t>
  </si>
  <si>
    <t>B.C. Zone 1 - B.C Misc.</t>
  </si>
  <si>
    <t>Ohio</t>
  </si>
  <si>
    <t>Ireland</t>
  </si>
  <si>
    <t>B.C. Zone 2 - Oliver-Constellation</t>
  </si>
  <si>
    <t>Pennsylvania</t>
  </si>
  <si>
    <t>Italy</t>
  </si>
  <si>
    <t>B.C. Zone 3 - Vancouver/BCLDB, Misc.</t>
  </si>
  <si>
    <t>Tennessee</t>
  </si>
  <si>
    <t>Jamaica (FOB)</t>
  </si>
  <si>
    <t>B.C. Zone 4 - Vancouver-Mark Anthony</t>
  </si>
  <si>
    <t>Washington</t>
  </si>
  <si>
    <t>Jamaica (Exworks)</t>
  </si>
  <si>
    <t>SRP</t>
  </si>
  <si>
    <t>Strong Beer</t>
  </si>
  <si>
    <t>Wisconsin</t>
  </si>
  <si>
    <t>Netherlands</t>
  </si>
  <si>
    <t>Atlantic Zone 1 - Atlantic Provinces</t>
  </si>
  <si>
    <t>*No Freight</t>
  </si>
  <si>
    <t>New Zealand</t>
  </si>
  <si>
    <t>Manitoba Zone 1 - WETT Sales Warehouse</t>
  </si>
  <si>
    <t>Poland</t>
  </si>
  <si>
    <t>Extra Cost</t>
  </si>
  <si>
    <t>Level Markup</t>
  </si>
  <si>
    <t>Portugal (FOB,FCA)</t>
  </si>
  <si>
    <t>Portugal (Exworks)</t>
  </si>
  <si>
    <t>South Africa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</si>
  <si>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</si>
  <si>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</si>
  <si>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</si>
  <si>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</si>
  <si>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</si>
  <si>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</si>
  <si>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Uruguay</t>
  </si>
  <si>
    <t>Commercial Consideration</t>
  </si>
  <si>
    <t>Equalization</t>
  </si>
  <si>
    <t xml:space="preserve">Extra </t>
  </si>
  <si>
    <t>Calculations</t>
  </si>
  <si>
    <t>DPLC</t>
  </si>
  <si>
    <t>Freight Zone</t>
  </si>
  <si>
    <r>
      <rPr>
        <b/>
        <sz val="10"/>
        <color theme="1"/>
        <rFont val="Calibri"/>
        <family val="2"/>
        <scheme val="minor"/>
      </rPr>
      <t xml:space="preserve">Step 3: </t>
    </r>
    <r>
      <rPr>
        <sz val="10"/>
        <color theme="1"/>
        <rFont val="Calibri"/>
        <family val="2"/>
        <scheme val="minor"/>
      </rPr>
      <t xml:space="preserve">Under the </t>
    </r>
    <r>
      <rPr>
        <sz val="10"/>
        <color theme="8" tint="-0.249977111117893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 xml:space="preserve"> tab, select </t>
    </r>
    <r>
      <rPr>
        <sz val="10"/>
        <color theme="8" tint="-0.249977111117893"/>
        <rFont val="Calibri"/>
        <family val="2"/>
        <scheme val="minor"/>
      </rPr>
      <t>What-if Analysis</t>
    </r>
    <r>
      <rPr>
        <sz val="10"/>
        <color theme="1"/>
        <rFont val="Calibri"/>
        <family val="2"/>
        <scheme val="minor"/>
      </rPr>
      <t xml:space="preserve"> and then </t>
    </r>
    <r>
      <rPr>
        <sz val="10"/>
        <color theme="8" tint="-0.249977111117893"/>
        <rFont val="Calibri"/>
        <family val="2"/>
        <scheme val="minor"/>
      </rPr>
      <t>Goal Seek</t>
    </r>
  </si>
  <si>
    <t>Sum</t>
  </si>
  <si>
    <r>
      <t xml:space="preserve">Level </t>
    </r>
    <r>
      <rPr>
        <sz val="8"/>
        <color theme="1"/>
        <rFont val="Calibri"/>
        <family val="2"/>
        <scheme val="minor"/>
      </rPr>
      <t xml:space="preserve">Microbrewery/Micro Distillery/Cottage Winery </t>
    </r>
  </si>
  <si>
    <t xml:space="preserve">     The reduced markup level based on supplier's annual production that</t>
  </si>
  <si>
    <t xml:space="preserve">     has been pre-approved by MBLL  </t>
  </si>
  <si>
    <t>YYMN</t>
  </si>
  <si>
    <t>Year, Month of PC, Update Number</t>
  </si>
  <si>
    <t>Australia (FCA &amp; FOB)</t>
  </si>
  <si>
    <t>Ontario Zone 3 - Toronto/Mississauga - Constellation</t>
  </si>
  <si>
    <t>Alberta Zone 1 - St. Albert/Edmonton</t>
  </si>
  <si>
    <t>B.C. Zone 5 - Hillebrand Westlink</t>
  </si>
  <si>
    <t>Individual Container Size (L)</t>
  </si>
  <si>
    <t>By changing cell: F13 (or click the cell)</t>
  </si>
  <si>
    <t xml:space="preserve">     stating the Country of Origin, from select countries</t>
  </si>
  <si>
    <t>Type</t>
  </si>
  <si>
    <r>
      <t xml:space="preserve">Spirits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</si>
  <si>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Spirits </t>
    </r>
    <r>
      <rPr>
        <b/>
        <sz val="10"/>
        <color theme="1"/>
        <rFont val="Calibri"/>
        <family val="2"/>
        <scheme val="minor"/>
      </rPr>
      <t>&lt;7%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</si>
  <si>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</si>
  <si>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1.2% - 7%</t>
    </r>
  </si>
  <si>
    <t>Certificate of Origin</t>
  </si>
  <si>
    <r>
      <t xml:space="preserve">Certificate of Origin: </t>
    </r>
    <r>
      <rPr>
        <sz val="10"/>
        <color theme="1"/>
        <rFont val="Calibri"/>
        <family val="2"/>
        <scheme val="minor"/>
      </rPr>
      <t>Submitted yearly for preferred customs rates</t>
    </r>
  </si>
  <si>
    <t>Set Cell: G41</t>
  </si>
  <si>
    <r>
      <t xml:space="preserve">Step 2: </t>
    </r>
    <r>
      <rPr>
        <sz val="10"/>
        <color theme="1"/>
        <rFont val="Calibri"/>
        <family val="2"/>
        <scheme val="minor"/>
      </rPr>
      <t>Highlight Retail Price (Cell G41)</t>
    </r>
  </si>
  <si>
    <t>Disclaimer</t>
  </si>
  <si>
    <t xml:space="preserve">     processed, the retail price may change. </t>
  </si>
  <si>
    <r>
      <rPr>
        <b/>
        <sz val="9"/>
        <color theme="1"/>
        <rFont val="Calibri"/>
        <family val="2"/>
        <scheme val="minor"/>
      </rPr>
      <t>Trial Pricing Calculator</t>
    </r>
    <r>
      <rPr>
        <sz val="9"/>
        <color theme="1"/>
        <rFont val="Calibri"/>
        <family val="2"/>
        <scheme val="minor"/>
      </rPr>
      <t xml:space="preserve"> does not guarantee the final retail price, once</t>
    </r>
  </si>
  <si>
    <r>
      <rPr>
        <b/>
        <sz val="9"/>
        <color theme="1"/>
        <rFont val="Calibri"/>
        <family val="2"/>
        <scheme val="minor"/>
      </rPr>
      <t>Product Size:</t>
    </r>
    <r>
      <rPr>
        <sz val="9"/>
        <color theme="1"/>
        <rFont val="Calibri"/>
        <family val="2"/>
        <scheme val="minor"/>
      </rPr>
      <t xml:space="preserve"> The trial pricing calculator is designed to price the most  </t>
    </r>
  </si>
  <si>
    <t xml:space="preserve">commonly used product sizes. </t>
  </si>
  <si>
    <t>Malt Based Cooler</t>
  </si>
  <si>
    <t xml:space="preserve">Micro Produced </t>
  </si>
  <si>
    <t>Level</t>
  </si>
  <si>
    <t xml:space="preserve">% </t>
  </si>
  <si>
    <t>$</t>
  </si>
  <si>
    <t>Mead/Other</t>
  </si>
  <si>
    <t>Refreshment Beverage/Ciders</t>
  </si>
  <si>
    <t>Beer - MBLL Retail</t>
  </si>
  <si>
    <t>Effective September 1, 2021</t>
  </si>
  <si>
    <t>21-09-01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</si>
</sst>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&quot;$&quot;#,##0.00"/>
    <numFmt numFmtId="166" formatCode="0.0%"/>
    <numFmt numFmtId="167" formatCode="_-&quot;$&quot;* #,##0.00_-;\-&quot;$&quot;* #,##0.00_-;_-&quot;$&quot;* &quot;-&quot;??_-;_-@_-"/>
    <numFmt numFmtId="168" formatCode="_-* #,##0.00_-;\-* #,##0.00_-;_-* &quot;-&quot;??_-;_-@_-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6"/>
      <color rgb="FF00206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  <scheme val="major"/>
    </font>
  </fonts>
  <fills count="6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818">
    <xf numFmtId="0" fontId="0" fillId="0" borderId="0"/>
    <xf numFmtId="0" fontId="7" fillId="0" borderId="0"/>
    <xf numFmtId="0" fontId="7" fillId="0" borderId="0"/>
    <xf numFmtId="0" fontId="1" fillId="0" borderId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4" fillId="0" borderId="33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6" fillId="13" borderId="0" applyNumberFormat="0" applyBorder="0" applyAlignment="0" applyProtection="0"/>
    <xf numFmtId="0" fontId="37" fillId="15" borderId="34" applyNumberFormat="0" applyAlignment="0" applyProtection="0"/>
    <xf numFmtId="0" fontId="38" fillId="16" borderId="35" applyNumberFormat="0" applyAlignment="0" applyProtection="0"/>
    <xf numFmtId="0" fontId="39" fillId="16" borderId="34" applyNumberFormat="0" applyAlignment="0" applyProtection="0"/>
    <xf numFmtId="0" fontId="40" fillId="0" borderId="36" applyNumberFormat="0" applyFill="0" applyAlignment="0" applyProtection="0"/>
    <xf numFmtId="0" fontId="2" fillId="17" borderId="3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4" fillId="0" borderId="0"/>
    <xf numFmtId="44" fontId="44" fillId="0" borderId="0" applyFont="0" applyFill="0" applyBorder="0" applyAlignment="0" applyProtection="0"/>
    <xf numFmtId="0" fontId="1" fillId="0" borderId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51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52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49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53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54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55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56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5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58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53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59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44" borderId="0" applyNumberFormat="0" applyBorder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48" fillId="47" borderId="34" applyNumberFormat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45" borderId="0" applyNumberFormat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49" fillId="0" borderId="40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0" fillId="0" borderId="41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51" fillId="0" borderId="4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47" borderId="34" applyNumberFormat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52" fillId="0" borderId="43" applyNumberFormat="0" applyFill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53" fillId="1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4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54" fillId="18" borderId="38" applyNumberFormat="0" applyFont="0" applyAlignment="0" applyProtection="0"/>
    <xf numFmtId="0" fontId="54" fillId="18" borderId="38" applyNumberFormat="0" applyFon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47" borderId="35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44" applyNumberFormat="0" applyFill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7" fillId="14" borderId="0" applyNumberFormat="0" applyBorder="0" applyAlignment="0" applyProtection="0"/>
    <xf numFmtId="0" fontId="43" fillId="22" borderId="0" applyNumberFormat="0" applyBorder="0" applyAlignment="0" applyProtection="0"/>
    <xf numFmtId="0" fontId="43" fillId="26" borderId="0" applyNumberFormat="0" applyBorder="0" applyAlignment="0" applyProtection="0"/>
    <xf numFmtId="0" fontId="43" fillId="30" borderId="0" applyNumberFormat="0" applyBorder="0" applyAlignment="0" applyProtection="0"/>
    <xf numFmtId="0" fontId="43" fillId="34" borderId="0" applyNumberFormat="0" applyBorder="0" applyAlignment="0" applyProtection="0"/>
    <xf numFmtId="0" fontId="43" fillId="38" borderId="0" applyNumberFormat="0" applyBorder="0" applyAlignment="0" applyProtection="0"/>
    <xf numFmtId="0" fontId="43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44" fontId="44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45" fillId="0" borderId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4" fillId="0" borderId="33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6" fillId="13" borderId="0" applyNumberFormat="0" applyBorder="0" applyAlignment="0" applyProtection="0"/>
    <xf numFmtId="0" fontId="47" fillId="14" borderId="0" applyNumberFormat="0" applyBorder="0" applyAlignment="0" applyProtection="0"/>
    <xf numFmtId="0" fontId="37" fillId="15" borderId="34" applyNumberFormat="0" applyAlignment="0" applyProtection="0"/>
    <xf numFmtId="0" fontId="38" fillId="16" borderId="35" applyNumberFormat="0" applyAlignment="0" applyProtection="0"/>
    <xf numFmtId="0" fontId="39" fillId="16" borderId="34" applyNumberFormat="0" applyAlignment="0" applyProtection="0"/>
    <xf numFmtId="0" fontId="40" fillId="0" borderId="36" applyNumberFormat="0" applyFill="0" applyAlignment="0" applyProtection="0"/>
    <xf numFmtId="0" fontId="2" fillId="17" borderId="3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3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168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45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44" fontId="44" fillId="0" borderId="0" applyFont="0" applyFill="0" applyBorder="0" applyAlignment="0" applyProtection="0"/>
    <xf numFmtId="0" fontId="1" fillId="0" borderId="0"/>
    <xf numFmtId="0" fontId="1" fillId="0" borderId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9" fontId="4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</cellStyleXfs>
  <cellXfs count="185">
    <xf numFmtId="0" fontId="0" fillId="0" borderId="0" xfId="0"/>
    <xf numFmtId="0" fontId="3" fillId="0" borderId="0" xfId="0" applyFont="1"/>
    <xf numFmtId="0" fontId="0" fillId="0" borderId="0" xfId="0" applyFont="1"/>
    <xf numFmtId="0" fontId="0" fillId="2" borderId="0" xfId="0" applyFill="1"/>
    <xf numFmtId="0" fontId="4" fillId="0" borderId="0" xfId="0" applyFont="1"/>
    <xf numFmtId="49" fontId="0" fillId="0" borderId="0" xfId="0" applyNumberFormat="1"/>
    <xf numFmtId="14" fontId="0" fillId="0" borderId="0" xfId="0" applyNumberFormat="1"/>
    <xf numFmtId="0" fontId="3" fillId="0" borderId="0" xfId="0" applyFont="1" applyFill="1"/>
    <xf numFmtId="0" fontId="3" fillId="3" borderId="0" xfId="0" applyFont="1" applyFill="1"/>
    <xf numFmtId="0" fontId="0" fillId="3" borderId="0" xfId="0" applyFill="1"/>
    <xf numFmtId="0" fontId="0" fillId="0" borderId="0" xfId="0" applyFont="1" applyFill="1"/>
    <xf numFmtId="0" fontId="0" fillId="0" borderId="0" xfId="0" applyFill="1"/>
    <xf numFmtId="14" fontId="0" fillId="3" borderId="0" xfId="0" applyNumberFormat="1" applyFill="1"/>
    <xf numFmtId="0" fontId="6" fillId="0" borderId="0" xfId="0" applyFont="1"/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1" xfId="1" applyFont="1" applyBorder="1" applyAlignment="1">
      <alignment horizontal="left" wrapText="1"/>
    </xf>
    <xf numFmtId="0" fontId="9" fillId="0" borderId="4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8" fillId="0" borderId="6" xfId="1" applyFont="1" applyBorder="1"/>
    <xf numFmtId="0" fontId="8" fillId="0" borderId="5" xfId="1" applyFont="1" applyBorder="1"/>
    <xf numFmtId="0" fontId="8" fillId="0" borderId="8" xfId="1" applyFont="1" applyBorder="1"/>
    <xf numFmtId="0" fontId="8" fillId="0" borderId="7" xfId="1" applyFont="1" applyBorder="1"/>
    <xf numFmtId="3" fontId="8" fillId="0" borderId="5" xfId="1" applyNumberFormat="1" applyFont="1" applyBorder="1"/>
    <xf numFmtId="3" fontId="8" fillId="0" borderId="7" xfId="1" applyNumberFormat="1" applyFont="1" applyBorder="1"/>
    <xf numFmtId="0" fontId="8" fillId="0" borderId="11" xfId="1" applyFont="1" applyBorder="1"/>
    <xf numFmtId="3" fontId="8" fillId="0" borderId="10" xfId="1" applyNumberFormat="1" applyFont="1" applyBorder="1"/>
    <xf numFmtId="0" fontId="8" fillId="0" borderId="10" xfId="1" applyFont="1" applyBorder="1"/>
    <xf numFmtId="0" fontId="8" fillId="0" borderId="7" xfId="1" applyFont="1" applyFill="1" applyBorder="1"/>
    <xf numFmtId="0" fontId="8" fillId="0" borderId="9" xfId="1" applyFont="1" applyFill="1" applyBorder="1"/>
    <xf numFmtId="0" fontId="11" fillId="7" borderId="19" xfId="0" applyFont="1" applyFill="1" applyBorder="1" applyProtection="1"/>
    <xf numFmtId="0" fontId="23" fillId="8" borderId="20" xfId="0" applyFont="1" applyFill="1" applyBorder="1" applyProtection="1"/>
    <xf numFmtId="0" fontId="23" fillId="8" borderId="0" xfId="0" applyFont="1" applyFill="1" applyBorder="1" applyProtection="1"/>
    <xf numFmtId="0" fontId="23" fillId="8" borderId="21" xfId="0" applyFont="1" applyFill="1" applyBorder="1" applyProtection="1"/>
    <xf numFmtId="0" fontId="11" fillId="0" borderId="20" xfId="0" applyFont="1" applyBorder="1" applyProtection="1"/>
    <xf numFmtId="0" fontId="11" fillId="0" borderId="0" xfId="0" applyFont="1" applyBorder="1" applyProtection="1"/>
    <xf numFmtId="0" fontId="11" fillId="0" borderId="21" xfId="0" applyFont="1" applyBorder="1" applyProtection="1"/>
    <xf numFmtId="0" fontId="11" fillId="0" borderId="22" xfId="0" applyFont="1" applyBorder="1" applyProtection="1"/>
    <xf numFmtId="0" fontId="11" fillId="0" borderId="25" xfId="0" applyFont="1" applyBorder="1" applyProtection="1"/>
    <xf numFmtId="0" fontId="11" fillId="0" borderId="23" xfId="0" applyFont="1" applyBorder="1" applyProtection="1"/>
    <xf numFmtId="0" fontId="11" fillId="0" borderId="0" xfId="0" applyFont="1" applyProtection="1"/>
    <xf numFmtId="0" fontId="24" fillId="5" borderId="0" xfId="0" applyFont="1" applyFill="1" applyBorder="1" applyAlignment="1" applyProtection="1">
      <alignment horizontal="center"/>
    </xf>
    <xf numFmtId="0" fontId="24" fillId="5" borderId="20" xfId="0" applyFont="1" applyFill="1" applyBorder="1" applyAlignment="1" applyProtection="1">
      <alignment horizontal="center"/>
    </xf>
    <xf numFmtId="0" fontId="11" fillId="0" borderId="23" xfId="0" applyFont="1" applyBorder="1" applyAlignment="1" applyProtection="1">
      <alignment vertical="center"/>
    </xf>
    <xf numFmtId="0" fontId="24" fillId="5" borderId="21" xfId="0" applyFont="1" applyFill="1" applyBorder="1" applyAlignment="1" applyProtection="1">
      <alignment horizontal="center"/>
    </xf>
    <xf numFmtId="0" fontId="25" fillId="0" borderId="0" xfId="0" applyFont="1" applyFill="1" applyBorder="1" applyProtection="1"/>
    <xf numFmtId="0" fontId="26" fillId="0" borderId="0" xfId="0" applyFont="1" applyBorder="1" applyAlignment="1" applyProtection="1">
      <alignment horizontal="left"/>
    </xf>
    <xf numFmtId="0" fontId="25" fillId="0" borderId="0" xfId="0" applyFont="1" applyBorder="1" applyProtection="1"/>
    <xf numFmtId="0" fontId="11" fillId="0" borderId="24" xfId="0" applyFont="1" applyBorder="1" applyProtection="1"/>
    <xf numFmtId="0" fontId="11" fillId="0" borderId="26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24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horizontal="right" vertical="center"/>
    </xf>
    <xf numFmtId="0" fontId="11" fillId="0" borderId="24" xfId="0" applyNumberFormat="1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164" fontId="11" fillId="0" borderId="21" xfId="0" applyNumberFormat="1" applyFont="1" applyBorder="1" applyAlignment="1" applyProtection="1">
      <alignment horizontal="left"/>
    </xf>
    <xf numFmtId="0" fontId="24" fillId="5" borderId="20" xfId="0" applyFont="1" applyFill="1" applyBorder="1" applyAlignment="1" applyProtection="1">
      <alignment horizontal="left"/>
    </xf>
    <xf numFmtId="0" fontId="24" fillId="5" borderId="0" xfId="0" applyFont="1" applyFill="1" applyBorder="1" applyAlignment="1" applyProtection="1">
      <alignment horizontal="left"/>
    </xf>
    <xf numFmtId="0" fontId="24" fillId="5" borderId="21" xfId="0" applyFont="1" applyFill="1" applyBorder="1" applyAlignment="1" applyProtection="1">
      <alignment horizontal="left"/>
    </xf>
    <xf numFmtId="0" fontId="11" fillId="0" borderId="2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21" xfId="0" applyFont="1" applyBorder="1" applyAlignment="1" applyProtection="1">
      <alignment horizontal="left"/>
    </xf>
    <xf numFmtId="0" fontId="11" fillId="9" borderId="27" xfId="0" applyFont="1" applyFill="1" applyBorder="1" applyProtection="1"/>
    <xf numFmtId="0" fontId="11" fillId="9" borderId="27" xfId="0" applyFont="1" applyFill="1" applyBorder="1" applyAlignment="1" applyProtection="1">
      <alignment horizontal="right" vertical="center"/>
    </xf>
    <xf numFmtId="0" fontId="11" fillId="9" borderId="27" xfId="0" applyFont="1" applyFill="1" applyBorder="1" applyAlignment="1" applyProtection="1">
      <alignment horizontal="right"/>
    </xf>
    <xf numFmtId="0" fontId="11" fillId="0" borderId="23" xfId="0" applyFont="1" applyBorder="1" applyAlignment="1" applyProtection="1">
      <alignment vertical="center"/>
    </xf>
    <xf numFmtId="0" fontId="11" fillId="0" borderId="24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12" xfId="0" applyFont="1" applyBorder="1" applyProtection="1"/>
    <xf numFmtId="0" fontId="11" fillId="0" borderId="12" xfId="0" applyFont="1" applyFill="1" applyBorder="1" applyProtection="1"/>
    <xf numFmtId="0" fontId="11" fillId="0" borderId="14" xfId="0" applyFont="1" applyBorder="1" applyProtection="1"/>
    <xf numFmtId="0" fontId="11" fillId="0" borderId="13" xfId="0" applyFont="1" applyBorder="1" applyProtection="1"/>
    <xf numFmtId="0" fontId="11" fillId="0" borderId="26" xfId="0" applyFont="1" applyBorder="1" applyAlignment="1" applyProtection="1">
      <alignment horizontal="right" vertical="center"/>
    </xf>
    <xf numFmtId="0" fontId="0" fillId="0" borderId="12" xfId="0" applyBorder="1"/>
    <xf numFmtId="0" fontId="0" fillId="9" borderId="12" xfId="0" applyFill="1" applyBorder="1"/>
    <xf numFmtId="0" fontId="0" fillId="0" borderId="14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6" borderId="0" xfId="0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right"/>
    </xf>
    <xf numFmtId="0" fontId="15" fillId="6" borderId="0" xfId="0" applyFont="1" applyFill="1" applyBorder="1" applyAlignment="1">
      <alignment horizontal="left" vertical="top"/>
    </xf>
    <xf numFmtId="0" fontId="23" fillId="8" borderId="14" xfId="0" applyFont="1" applyFill="1" applyBorder="1"/>
    <xf numFmtId="0" fontId="0" fillId="9" borderId="14" xfId="0" applyFill="1" applyBorder="1"/>
    <xf numFmtId="0" fontId="0" fillId="0" borderId="13" xfId="0" applyBorder="1"/>
    <xf numFmtId="0" fontId="0" fillId="5" borderId="0" xfId="0" applyFill="1" applyBorder="1"/>
    <xf numFmtId="0" fontId="19" fillId="5" borderId="0" xfId="0" applyFont="1" applyFill="1" applyBorder="1"/>
    <xf numFmtId="0" fontId="13" fillId="9" borderId="0" xfId="0" applyFont="1" applyFill="1" applyBorder="1" applyAlignment="1">
      <alignment horizontal="right" vertical="top"/>
    </xf>
    <xf numFmtId="0" fontId="20" fillId="9" borderId="0" xfId="0" applyFont="1" applyFill="1" applyBorder="1"/>
    <xf numFmtId="0" fontId="21" fillId="9" borderId="0" xfId="0" applyFont="1" applyFill="1" applyBorder="1"/>
    <xf numFmtId="0" fontId="11" fillId="9" borderId="0" xfId="0" applyFont="1" applyFill="1" applyBorder="1"/>
    <xf numFmtId="2" fontId="0" fillId="9" borderId="14" xfId="0" applyNumberFormat="1" applyFill="1" applyBorder="1"/>
    <xf numFmtId="0" fontId="0" fillId="9" borderId="0" xfId="0" applyFill="1" applyBorder="1"/>
    <xf numFmtId="0" fontId="28" fillId="0" borderId="12" xfId="0" applyFont="1" applyBorder="1"/>
    <xf numFmtId="0" fontId="29" fillId="6" borderId="0" xfId="0" applyFont="1" applyFill="1" applyBorder="1"/>
    <xf numFmtId="0" fontId="14" fillId="6" borderId="14" xfId="0" applyFont="1" applyFill="1" applyBorder="1" applyAlignment="1" applyProtection="1">
      <alignment horizontal="right"/>
    </xf>
    <xf numFmtId="0" fontId="11" fillId="0" borderId="12" xfId="0" applyFont="1" applyBorder="1"/>
    <xf numFmtId="164" fontId="11" fillId="9" borderId="12" xfId="0" applyNumberFormat="1" applyFont="1" applyFill="1" applyBorder="1"/>
    <xf numFmtId="0" fontId="11" fillId="0" borderId="29" xfId="0" applyFont="1" applyBorder="1" applyProtection="1"/>
    <xf numFmtId="0" fontId="11" fillId="9" borderId="0" xfId="0" applyFont="1" applyFill="1" applyBorder="1" applyAlignment="1">
      <alignment vertical="top"/>
    </xf>
    <xf numFmtId="0" fontId="0" fillId="0" borderId="12" xfId="0" applyBorder="1" applyAlignment="1">
      <alignment horizontal="right"/>
    </xf>
    <xf numFmtId="0" fontId="0" fillId="7" borderId="20" xfId="0" applyFont="1" applyFill="1" applyBorder="1" applyAlignment="1" applyProtection="1">
      <alignment horizontal="center"/>
    </xf>
    <xf numFmtId="0" fontId="0" fillId="7" borderId="21" xfId="0" applyFont="1" applyFill="1" applyBorder="1" applyAlignment="1" applyProtection="1">
      <alignment horizontal="center"/>
    </xf>
    <xf numFmtId="0" fontId="11" fillId="7" borderId="22" xfId="0" applyFont="1" applyFill="1" applyBorder="1" applyProtection="1"/>
    <xf numFmtId="0" fontId="22" fillId="7" borderId="2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center"/>
    </xf>
    <xf numFmtId="0" fontId="22" fillId="7" borderId="21" xfId="0" applyFont="1" applyFill="1" applyBorder="1" applyAlignment="1" applyProtection="1">
      <alignment horizontal="center"/>
    </xf>
    <xf numFmtId="0" fontId="11" fillId="7" borderId="20" xfId="0" applyFont="1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14" fillId="6" borderId="0" xfId="0" applyFont="1" applyFill="1" applyBorder="1" applyAlignment="1">
      <alignment vertical="top"/>
    </xf>
    <xf numFmtId="0" fontId="11" fillId="10" borderId="20" xfId="0" applyFont="1" applyFill="1" applyBorder="1" applyProtection="1"/>
    <xf numFmtId="0" fontId="11" fillId="10" borderId="21" xfId="0" applyFont="1" applyFill="1" applyBorder="1" applyProtection="1"/>
    <xf numFmtId="164" fontId="14" fillId="6" borderId="0" xfId="0" applyNumberFormat="1" applyFont="1" applyFill="1" applyBorder="1" applyAlignment="1">
      <alignment horizontal="right"/>
    </xf>
    <xf numFmtId="0" fontId="29" fillId="6" borderId="0" xfId="0" applyFont="1" applyFill="1" applyBorder="1" applyAlignment="1">
      <alignment vertical="top"/>
    </xf>
    <xf numFmtId="164" fontId="0" fillId="0" borderId="12" xfId="0" applyNumberFormat="1" applyBorder="1"/>
    <xf numFmtId="0" fontId="11" fillId="0" borderId="23" xfId="0" applyFont="1" applyFill="1" applyBorder="1" applyAlignment="1" applyProtection="1">
      <alignment vertical="center"/>
    </xf>
    <xf numFmtId="0" fontId="11" fillId="0" borderId="24" xfId="0" applyFont="1" applyFill="1" applyBorder="1" applyAlignment="1" applyProtection="1">
      <alignment vertical="center"/>
    </xf>
    <xf numFmtId="0" fontId="11" fillId="0" borderId="24" xfId="0" applyFont="1" applyFill="1" applyBorder="1" applyProtection="1"/>
    <xf numFmtId="0" fontId="26" fillId="9" borderId="0" xfId="0" applyFont="1" applyFill="1" applyBorder="1"/>
    <xf numFmtId="0" fontId="0" fillId="11" borderId="12" xfId="0" applyFill="1" applyBorder="1"/>
    <xf numFmtId="0" fontId="0" fillId="11" borderId="0" xfId="0" applyFill="1" applyBorder="1"/>
    <xf numFmtId="0" fontId="26" fillId="11" borderId="0" xfId="0" applyFont="1" applyFill="1" applyBorder="1"/>
    <xf numFmtId="0" fontId="26" fillId="9" borderId="0" xfId="0" applyFont="1" applyFill="1" applyBorder="1" applyAlignment="1">
      <alignment vertical="top"/>
    </xf>
    <xf numFmtId="44" fontId="5" fillId="0" borderId="46" xfId="0" applyNumberFormat="1" applyFont="1" applyFill="1" applyBorder="1" applyAlignment="1" applyProtection="1"/>
    <xf numFmtId="44" fontId="5" fillId="0" borderId="47" xfId="0" applyNumberFormat="1" applyFont="1" applyFill="1" applyBorder="1" applyAlignment="1" applyProtection="1"/>
    <xf numFmtId="44" fontId="5" fillId="0" borderId="45" xfId="0" applyNumberFormat="1" applyFont="1" applyFill="1" applyBorder="1" applyAlignment="1" applyProtection="1"/>
    <xf numFmtId="2" fontId="11" fillId="0" borderId="0" xfId="0" applyNumberFormat="1" applyFont="1" applyBorder="1" applyProtection="1"/>
    <xf numFmtId="2" fontId="11" fillId="0" borderId="24" xfId="0" applyNumberFormat="1" applyFont="1" applyBorder="1" applyProtection="1"/>
    <xf numFmtId="2" fontId="11" fillId="0" borderId="21" xfId="0" applyNumberFormat="1" applyFont="1" applyBorder="1" applyProtection="1"/>
    <xf numFmtId="2" fontId="11" fillId="0" borderId="26" xfId="0" applyNumberFormat="1" applyFont="1" applyBorder="1" applyProtection="1"/>
    <xf numFmtId="0" fontId="0" fillId="7" borderId="16" xfId="0" applyFont="1" applyFill="1" applyBorder="1" applyAlignment="1" applyProtection="1">
      <alignment horizontal="center"/>
    </xf>
    <xf numFmtId="0" fontId="0" fillId="7" borderId="18" xfId="0" applyFont="1" applyFill="1" applyBorder="1" applyAlignment="1" applyProtection="1">
      <alignment horizontal="center"/>
    </xf>
    <xf numFmtId="0" fontId="23" fillId="8" borderId="20" xfId="0" applyFont="1" applyFill="1" applyBorder="1" applyAlignment="1" applyProtection="1">
      <alignment horizontal="center" wrapText="1"/>
    </xf>
    <xf numFmtId="0" fontId="23" fillId="8" borderId="21" xfId="0" applyFont="1" applyFill="1" applyBorder="1" applyAlignment="1" applyProtection="1">
      <alignment horizontal="center" wrapText="1"/>
    </xf>
    <xf numFmtId="0" fontId="11" fillId="7" borderId="16" xfId="0" applyFont="1" applyFill="1" applyBorder="1" applyAlignment="1" applyProtection="1">
      <alignment horizontal="center"/>
    </xf>
    <xf numFmtId="0" fontId="11" fillId="7" borderId="18" xfId="0" applyFont="1" applyFill="1" applyBorder="1" applyAlignment="1" applyProtection="1">
      <alignment horizontal="center"/>
    </xf>
    <xf numFmtId="0" fontId="0" fillId="7" borderId="17" xfId="0" applyFont="1" applyFill="1" applyBorder="1" applyAlignment="1" applyProtection="1">
      <alignment horizontal="center"/>
    </xf>
    <xf numFmtId="0" fontId="22" fillId="7" borderId="16" xfId="0" applyFont="1" applyFill="1" applyBorder="1" applyAlignment="1" applyProtection="1">
      <alignment horizontal="center"/>
    </xf>
    <xf numFmtId="0" fontId="22" fillId="7" borderId="17" xfId="0" applyFont="1" applyFill="1" applyBorder="1" applyAlignment="1" applyProtection="1">
      <alignment horizontal="center"/>
    </xf>
    <xf numFmtId="0" fontId="22" fillId="7" borderId="18" xfId="0" applyFont="1" applyFill="1" applyBorder="1" applyAlignment="1" applyProtection="1">
      <alignment horizontal="center"/>
    </xf>
    <xf numFmtId="0" fontId="23" fillId="8" borderId="0" xfId="0" applyFont="1" applyFill="1" applyBorder="1" applyAlignment="1" applyProtection="1">
      <alignment horizontal="center" wrapText="1"/>
    </xf>
    <xf numFmtId="0" fontId="23" fillId="8" borderId="22" xfId="0" applyFont="1" applyFill="1" applyBorder="1" applyAlignment="1" applyProtection="1">
      <alignment horizontal="center" wrapText="1"/>
    </xf>
    <xf numFmtId="0" fontId="14" fillId="6" borderId="12" xfId="0" applyFont="1" applyFill="1" applyBorder="1" applyAlignment="1" applyProtection="1">
      <alignment horizontal="right"/>
      <protection locked="0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/>
    </xf>
    <xf numFmtId="0" fontId="12" fillId="8" borderId="0" xfId="0" applyFont="1" applyFill="1" applyBorder="1" applyAlignment="1">
      <alignment horizontal="center"/>
    </xf>
    <xf numFmtId="0" fontId="0" fillId="6" borderId="14" xfId="0" applyFill="1" applyBorder="1" applyAlignment="1" applyProtection="1">
      <alignment horizontal="right"/>
      <protection locked="0"/>
    </xf>
    <xf numFmtId="0" fontId="0" fillId="6" borderId="15" xfId="0" applyFill="1" applyBorder="1" applyAlignment="1" applyProtection="1">
      <alignment horizontal="right"/>
      <protection locked="0"/>
    </xf>
    <xf numFmtId="0" fontId="0" fillId="6" borderId="28" xfId="0" applyFill="1" applyBorder="1" applyAlignment="1" applyProtection="1">
      <alignment horizontal="right"/>
      <protection locked="0"/>
    </xf>
    <xf numFmtId="165" fontId="14" fillId="6" borderId="12" xfId="0" applyNumberFormat="1" applyFont="1" applyFill="1" applyBorder="1" applyAlignment="1" applyProtection="1">
      <alignment horizontal="right"/>
      <protection locked="0" hidden="1"/>
    </xf>
    <xf numFmtId="166" fontId="14" fillId="6" borderId="12" xfId="0" applyNumberFormat="1" applyFont="1" applyFill="1" applyBorder="1" applyAlignment="1" applyProtection="1">
      <alignment horizontal="right"/>
      <protection locked="0"/>
    </xf>
    <xf numFmtId="0" fontId="14" fillId="6" borderId="29" xfId="0" applyFont="1" applyFill="1" applyBorder="1" applyAlignment="1" applyProtection="1">
      <alignment horizontal="right"/>
      <protection locked="0"/>
    </xf>
    <xf numFmtId="0" fontId="14" fillId="6" borderId="13" xfId="0" applyFont="1" applyFill="1" applyBorder="1" applyAlignment="1" applyProtection="1">
      <alignment horizontal="right"/>
      <protection locked="0"/>
    </xf>
    <xf numFmtId="0" fontId="14" fillId="6" borderId="15" xfId="0" applyFont="1" applyFill="1" applyBorder="1" applyAlignment="1" applyProtection="1">
      <alignment horizontal="right"/>
      <protection locked="0"/>
    </xf>
    <xf numFmtId="0" fontId="14" fillId="6" borderId="28" xfId="0" applyFont="1" applyFill="1" applyBorder="1" applyAlignment="1" applyProtection="1">
      <alignment horizontal="right"/>
      <protection locked="0"/>
    </xf>
    <xf numFmtId="0" fontId="2" fillId="5" borderId="0" xfId="0" applyFont="1" applyFill="1" applyBorder="1" applyAlignment="1">
      <alignment horizontal="right"/>
    </xf>
    <xf numFmtId="165" fontId="3" fillId="9" borderId="0" xfId="0" applyNumberFormat="1" applyFont="1" applyFill="1" applyBorder="1" applyAlignment="1">
      <alignment horizontal="center"/>
    </xf>
    <xf numFmtId="165" fontId="18" fillId="6" borderId="0" xfId="0" applyNumberFormat="1" applyFont="1" applyFill="1" applyBorder="1" applyAlignment="1" applyProtection="1">
      <alignment horizontal="center"/>
      <protection locked="0" hidden="1"/>
    </xf>
    <xf numFmtId="164" fontId="14" fillId="6" borderId="0" xfId="0" applyNumberFormat="1" applyFont="1" applyFill="1" applyBorder="1" applyAlignment="1">
      <alignment horizontal="right"/>
    </xf>
    <xf numFmtId="0" fontId="16" fillId="8" borderId="0" xfId="0" applyFont="1" applyFill="1" applyBorder="1" applyAlignment="1">
      <alignment horizontal="right"/>
    </xf>
    <xf numFmtId="0" fontId="11" fillId="9" borderId="16" xfId="0" applyFont="1" applyFill="1" applyBorder="1" applyAlignment="1" applyProtection="1">
      <alignment horizontal="center"/>
    </xf>
    <xf numFmtId="0" fontId="11" fillId="9" borderId="17" xfId="0" applyFont="1" applyFill="1" applyBorder="1" applyAlignment="1" applyProtection="1">
      <alignment horizontal="center"/>
    </xf>
    <xf numFmtId="0" fontId="11" fillId="9" borderId="18" xfId="0" applyFont="1" applyFill="1" applyBorder="1" applyAlignment="1" applyProtection="1">
      <alignment horizontal="center"/>
    </xf>
    <xf numFmtId="0" fontId="0" fillId="9" borderId="16" xfId="0" applyFont="1" applyFill="1" applyBorder="1" applyAlignment="1" applyProtection="1">
      <alignment horizontal="center"/>
    </xf>
    <xf numFmtId="0" fontId="0" fillId="9" borderId="17" xfId="0" applyFont="1" applyFill="1" applyBorder="1" applyAlignment="1" applyProtection="1">
      <alignment horizontal="center"/>
    </xf>
    <xf numFmtId="0" fontId="0" fillId="9" borderId="18" xfId="0" applyFont="1" applyFill="1" applyBorder="1" applyAlignment="1" applyProtection="1">
      <alignment horizontal="center"/>
    </xf>
    <xf numFmtId="0" fontId="23" fillId="5" borderId="0" xfId="0" applyFont="1" applyFill="1" applyBorder="1" applyAlignment="1" applyProtection="1">
      <alignment horizontal="center"/>
    </xf>
    <xf numFmtId="0" fontId="23" fillId="5" borderId="21" xfId="0" applyFont="1" applyFill="1" applyBorder="1" applyAlignment="1" applyProtection="1">
      <alignment horizontal="center"/>
    </xf>
    <xf numFmtId="0" fontId="23" fillId="5" borderId="20" xfId="0" applyFont="1" applyFill="1" applyBorder="1" applyAlignment="1" applyProtection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</cellXfs>
  <cellStyles count="818">
    <cellStyle name="20% - Accent1" xfId="19" builtinId="30" customBuiltin="1"/>
    <cellStyle name="20% - Accent1 10" xfId="528" xr:uid="{CBF9F5A7-D2B3-4D5E-8254-613345F05492}"/>
    <cellStyle name="20% - Accent1 2" xfId="55" xr:uid="{282FCCE1-D108-42C1-850E-BD55342A3964}"/>
    <cellStyle name="20% - Accent1 2 2" xfId="408" xr:uid="{AAE780B5-7C9A-4056-A21A-FC79373210B1}"/>
    <cellStyle name="20% - Accent1 2 2 2" xfId="741" xr:uid="{978FD895-B372-4899-9467-0728380DF9E5}"/>
    <cellStyle name="20% - Accent1 2 3" xfId="320" xr:uid="{7EA160BD-2DC0-46A9-ACCB-51D1EF605988}"/>
    <cellStyle name="20% - Accent1 2 3 2" xfId="656" xr:uid="{B77CA3A8-AFA8-4091-B324-8AA5FAC19DF9}"/>
    <cellStyle name="20% - Accent1 2 4" xfId="540" xr:uid="{04DCFA3E-4967-414B-8B99-B1CAD362DBCC}"/>
    <cellStyle name="20% - Accent1 3" xfId="56" xr:uid="{CA157BF9-E690-44CA-9B43-1DBDBA51B2C6}"/>
    <cellStyle name="20% - Accent1 3 2" xfId="409" xr:uid="{9C0F7B75-F8F7-4CE7-B7B1-947A048E8332}"/>
    <cellStyle name="20% - Accent1 3 2 2" xfId="742" xr:uid="{BD2ACDDA-B24E-41FB-8277-132D14AD5363}"/>
    <cellStyle name="20% - Accent1 3 3" xfId="321" xr:uid="{5D347F19-7EFE-42BF-9C9E-E0B8E5D1FA39}"/>
    <cellStyle name="20% - Accent1 3 3 2" xfId="657" xr:uid="{230D2BFB-1142-4ABD-8654-3CF1EB24D508}"/>
    <cellStyle name="20% - Accent1 3 4" xfId="541" xr:uid="{C84E994E-78E7-408E-B665-67D5F2B2FF40}"/>
    <cellStyle name="20% - Accent1 4" xfId="57" xr:uid="{DC12A49C-33BA-42AC-A329-6CBC04CFF06B}"/>
    <cellStyle name="20% - Accent1 4 2" xfId="410" xr:uid="{9A098DCF-C14F-4C69-B80A-6D50B66024A7}"/>
    <cellStyle name="20% - Accent1 4 2 2" xfId="743" xr:uid="{B793F974-453A-46AD-83EB-DC5777A5723C}"/>
    <cellStyle name="20% - Accent1 4 3" xfId="322" xr:uid="{CC8EBB4D-3686-4231-8E6F-B664C433D988}"/>
    <cellStyle name="20% - Accent1 4 3 2" xfId="658" xr:uid="{C7941247-77CC-47FA-99D5-DA9A20923BB1}"/>
    <cellStyle name="20% - Accent1 4 4" xfId="542" xr:uid="{F9AC4780-489A-4329-B1C2-CA52B7A95638}"/>
    <cellStyle name="20% - Accent1 5" xfId="58" xr:uid="{188C03B9-A7E9-4989-BA9D-A9C6411EC492}"/>
    <cellStyle name="20% - Accent1 5 2" xfId="411" xr:uid="{40273F0E-A5AB-4467-AF07-353250245F52}"/>
    <cellStyle name="20% - Accent1 5 2 2" xfId="744" xr:uid="{B19913C9-1F46-408D-8AEB-91994E9889CC}"/>
    <cellStyle name="20% - Accent1 5 3" xfId="323" xr:uid="{74277856-ABB4-4544-93F4-0BC1F32D5C02}"/>
    <cellStyle name="20% - Accent1 5 3 2" xfId="659" xr:uid="{89A99393-78C7-44F7-9F12-522D25FF6090}"/>
    <cellStyle name="20% - Accent1 5 4" xfId="543" xr:uid="{2B2CB544-FC5C-4107-B585-0B89EF9AC05B}"/>
    <cellStyle name="20% - Accent1 6" xfId="59" xr:uid="{182CEA95-52A6-4845-B0E5-7BD0AB73DEBA}"/>
    <cellStyle name="20% - Accent1 6 2" xfId="412" xr:uid="{A5C6590A-6699-44E9-ADE3-41E2854BB7D2}"/>
    <cellStyle name="20% - Accent1 6 2 2" xfId="745" xr:uid="{4975514D-7A4C-48B2-BB86-70D439EC2DF1}"/>
    <cellStyle name="20% - Accent1 6 3" xfId="324" xr:uid="{68D9D67B-2B94-4AE0-857E-41FF0EA78DDE}"/>
    <cellStyle name="20% - Accent1 6 3 2" xfId="660" xr:uid="{F12CF177-AA03-41B1-B47C-1785EF1BF036}"/>
    <cellStyle name="20% - Accent1 6 4" xfId="544" xr:uid="{DC2FEB96-79FD-47C7-B213-9A245A1F756B}"/>
    <cellStyle name="20% - Accent1 7" xfId="60" xr:uid="{8BF94C8F-5324-49E5-AC02-7D6C93A34A85}"/>
    <cellStyle name="20% - Accent1 7 2" xfId="413" xr:uid="{F13004BA-2CFA-44FC-9F16-519841789804}"/>
    <cellStyle name="20% - Accent1 7 2 2" xfId="746" xr:uid="{FD2EE783-C707-4D2B-8C5A-5BEE9FCD3A2B}"/>
    <cellStyle name="20% - Accent1 7 3" xfId="325" xr:uid="{CB72262D-88AE-4B2F-B032-48498389B146}"/>
    <cellStyle name="20% - Accent1 7 3 2" xfId="661" xr:uid="{7A08FF1F-E798-4DBA-94C5-4592A5D7B0B4}"/>
    <cellStyle name="20% - Accent1 7 4" xfId="545" xr:uid="{C80B4B52-3265-4E9D-BB43-73F6AC5A60CB}"/>
    <cellStyle name="20% - Accent1 8" xfId="61" xr:uid="{34B62809-BC34-423C-B88D-B3657F9784DF}"/>
    <cellStyle name="20% - Accent1 8 2" xfId="414" xr:uid="{B1804E42-87DC-45CE-B30D-D23FBD3E4418}"/>
    <cellStyle name="20% - Accent1 8 2 2" xfId="747" xr:uid="{713B941D-8C1D-406A-8003-074F9F6B4DE8}"/>
    <cellStyle name="20% - Accent1 8 3" xfId="326" xr:uid="{CDB39A1D-628D-4DCF-A1F3-89B39A7B44A3}"/>
    <cellStyle name="20% - Accent1 8 3 2" xfId="662" xr:uid="{B99C32CF-F268-4B4B-B6EB-B24FDE9DE061}"/>
    <cellStyle name="20% - Accent1 8 4" xfId="546" xr:uid="{DDB76795-F736-48AC-BC86-61AD276C8066}"/>
    <cellStyle name="20% - Accent1 9" xfId="503" xr:uid="{8ED93D49-88E5-4C09-B573-6344879D5C43}"/>
    <cellStyle name="20% - Accent1 9 2" xfId="628" xr:uid="{BDA263F8-0CED-49D0-9CA4-5D100D257F9E}"/>
    <cellStyle name="20% - Accent2" xfId="22" builtinId="34" customBuiltin="1"/>
    <cellStyle name="20% - Accent2 10" xfId="530" xr:uid="{CB1E6883-F923-4DC9-A841-4A6E445F7A61}"/>
    <cellStyle name="20% - Accent2 2" xfId="62" xr:uid="{60E1275C-275A-4F4A-8F77-F56B456AB58E}"/>
    <cellStyle name="20% - Accent2 2 2" xfId="415" xr:uid="{62A90A3F-C3BD-45CF-B5C7-35CEBA781E89}"/>
    <cellStyle name="20% - Accent2 2 2 2" xfId="748" xr:uid="{2C2D3EAA-EEC3-4404-807B-43662DE29E22}"/>
    <cellStyle name="20% - Accent2 2 3" xfId="327" xr:uid="{36469C30-074B-457E-BC3F-7FF9C909B6A1}"/>
    <cellStyle name="20% - Accent2 2 3 2" xfId="663" xr:uid="{26D95243-F821-4F72-85FC-60162ED72CAE}"/>
    <cellStyle name="20% - Accent2 2 4" xfId="547" xr:uid="{B15DA060-A080-4280-BB03-10D5D20BF2C9}"/>
    <cellStyle name="20% - Accent2 3" xfId="63" xr:uid="{212AB483-7226-4CEF-8332-63747AA69622}"/>
    <cellStyle name="20% - Accent2 3 2" xfId="416" xr:uid="{15A5FEF5-3706-43A9-9902-4FF08B175130}"/>
    <cellStyle name="20% - Accent2 3 2 2" xfId="749" xr:uid="{84B8ABDC-3F2C-4F13-9197-3EC50EFA3784}"/>
    <cellStyle name="20% - Accent2 3 3" xfId="328" xr:uid="{75043A12-CA48-463E-B573-DCB9F9B3E4A7}"/>
    <cellStyle name="20% - Accent2 3 3 2" xfId="664" xr:uid="{2D52F895-A8A6-44EA-B6DF-9B81D460B79E}"/>
    <cellStyle name="20% - Accent2 3 4" xfId="548" xr:uid="{30D87F97-C6B4-42C0-9ACF-B082A4AE0A30}"/>
    <cellStyle name="20% - Accent2 4" xfId="64" xr:uid="{F193B5E9-B3B4-4AAF-938B-186BAB8376BC}"/>
    <cellStyle name="20% - Accent2 4 2" xfId="417" xr:uid="{D30548B6-AEFB-4487-B437-37BF2F98705F}"/>
    <cellStyle name="20% - Accent2 4 2 2" xfId="750" xr:uid="{8547145B-7A01-45E1-940D-80BD566CB655}"/>
    <cellStyle name="20% - Accent2 4 3" xfId="329" xr:uid="{233B27E5-45BE-48CB-B9B7-BC9DDAFE9095}"/>
    <cellStyle name="20% - Accent2 4 3 2" xfId="665" xr:uid="{6061A2A6-10A3-4CE8-A4AC-2B153CA1173E}"/>
    <cellStyle name="20% - Accent2 4 4" xfId="549" xr:uid="{F8214301-A9E8-4862-ADDC-118153FEE755}"/>
    <cellStyle name="20% - Accent2 5" xfId="65" xr:uid="{BCB1143B-1AC6-4FAA-BBC2-9BB0A644D1B6}"/>
    <cellStyle name="20% - Accent2 5 2" xfId="418" xr:uid="{656CA569-9C6F-4094-AB9A-A052933CF5CA}"/>
    <cellStyle name="20% - Accent2 5 2 2" xfId="751" xr:uid="{03C50622-2E6D-49CD-80A3-346BD2828D9F}"/>
    <cellStyle name="20% - Accent2 5 3" xfId="330" xr:uid="{B03F838A-34D1-47C6-89BA-BF7707B3B414}"/>
    <cellStyle name="20% - Accent2 5 3 2" xfId="666" xr:uid="{C6500C17-3192-42D6-B13F-112DAB5EAB93}"/>
    <cellStyle name="20% - Accent2 5 4" xfId="550" xr:uid="{64F090C5-327B-4D17-A9F1-D83704EA5289}"/>
    <cellStyle name="20% - Accent2 6" xfId="66" xr:uid="{D0C0F9CF-B4D6-4FDC-8B80-2A81026D1C49}"/>
    <cellStyle name="20% - Accent2 6 2" xfId="419" xr:uid="{4EC7BAE4-D622-4EC5-9931-3458A6D2C42A}"/>
    <cellStyle name="20% - Accent2 6 2 2" xfId="752" xr:uid="{03FBACF3-F0EB-4518-87B2-1FEE5E1348BF}"/>
    <cellStyle name="20% - Accent2 6 3" xfId="331" xr:uid="{C7371D6F-E319-413A-A036-C6B74320BFE7}"/>
    <cellStyle name="20% - Accent2 6 3 2" xfId="667" xr:uid="{E1B15628-D492-47E7-A6D3-5C9E50047E95}"/>
    <cellStyle name="20% - Accent2 6 4" xfId="551" xr:uid="{9BA867F9-065E-473E-82D8-5B7FB356B8A3}"/>
    <cellStyle name="20% - Accent2 7" xfId="67" xr:uid="{A216FD76-4F89-4B56-9395-77F97079A787}"/>
    <cellStyle name="20% - Accent2 7 2" xfId="420" xr:uid="{EFD6D2C6-DC98-49D3-8130-67DCACD8528C}"/>
    <cellStyle name="20% - Accent2 7 2 2" xfId="753" xr:uid="{60460010-7D5D-4A5A-9608-F7933BDF69C9}"/>
    <cellStyle name="20% - Accent2 7 3" xfId="332" xr:uid="{DD6329F2-A9F8-4A68-9A9C-264C4F3FD130}"/>
    <cellStyle name="20% - Accent2 7 3 2" xfId="668" xr:uid="{8D4E0B74-9C04-4DEC-8B01-FBFBB4037F23}"/>
    <cellStyle name="20% - Accent2 7 4" xfId="552" xr:uid="{BB273D80-0E6D-4935-85AE-A19A1A55F7EC}"/>
    <cellStyle name="20% - Accent2 8" xfId="68" xr:uid="{AB799DC1-080A-4857-8A93-57C2EFB00029}"/>
    <cellStyle name="20% - Accent2 8 2" xfId="421" xr:uid="{32540AC1-D279-472E-9DEC-D8D44E437CDE}"/>
    <cellStyle name="20% - Accent2 8 2 2" xfId="754" xr:uid="{5B2BB42A-012B-438F-8CBA-FF43026172CC}"/>
    <cellStyle name="20% - Accent2 8 3" xfId="333" xr:uid="{556D2BB3-0471-423A-9B5D-3F4A5EC324CF}"/>
    <cellStyle name="20% - Accent2 8 3 2" xfId="669" xr:uid="{075D73DF-3E2F-4386-8811-80CA50D52B10}"/>
    <cellStyle name="20% - Accent2 8 4" xfId="553" xr:uid="{C5AB1489-8604-4AD0-99D2-B5C7078ECB89}"/>
    <cellStyle name="20% - Accent2 9" xfId="507" xr:uid="{EBB71956-B9A0-418D-A5BE-A144FF7EF7DE}"/>
    <cellStyle name="20% - Accent2 9 2" xfId="630" xr:uid="{E9BB8926-A036-409C-9641-39E6EC20B7DD}"/>
    <cellStyle name="20% - Accent3" xfId="25" builtinId="38" customBuiltin="1"/>
    <cellStyle name="20% - Accent3 10" xfId="532" xr:uid="{ACEE14BF-637D-4CA7-BBA6-4F725E6FEE60}"/>
    <cellStyle name="20% - Accent3 2" xfId="69" xr:uid="{745CFADA-4AB9-4D62-8B87-E383888510CA}"/>
    <cellStyle name="20% - Accent3 2 2" xfId="422" xr:uid="{A7BE5FB5-90D9-482F-BBEF-E7DA221C1CCD}"/>
    <cellStyle name="20% - Accent3 2 2 2" xfId="755" xr:uid="{4FCDF451-92DE-4674-B81F-A5748905E6BC}"/>
    <cellStyle name="20% - Accent3 2 3" xfId="334" xr:uid="{1FFB29B7-2A99-4623-A210-E0695797D32D}"/>
    <cellStyle name="20% - Accent3 2 3 2" xfId="670" xr:uid="{39A3B6A8-19EB-4C87-9DAB-E231F5F014E4}"/>
    <cellStyle name="20% - Accent3 2 4" xfId="554" xr:uid="{69E2013B-8086-4C5F-B4F3-2C652A5D9DCE}"/>
    <cellStyle name="20% - Accent3 3" xfId="70" xr:uid="{7B602B5C-71A1-493F-9BC2-AA468E6D3C05}"/>
    <cellStyle name="20% - Accent3 3 2" xfId="423" xr:uid="{64F4D6B5-503A-4FB6-B29F-56B0071E4678}"/>
    <cellStyle name="20% - Accent3 3 2 2" xfId="756" xr:uid="{FB1152CE-97A1-460D-BDB3-640E9C293282}"/>
    <cellStyle name="20% - Accent3 3 3" xfId="335" xr:uid="{1DB1F3D0-1FE4-405A-8A3A-4791812EDD87}"/>
    <cellStyle name="20% - Accent3 3 3 2" xfId="671" xr:uid="{9D9BDC2E-8FBE-4744-970A-112121ECA22E}"/>
    <cellStyle name="20% - Accent3 3 4" xfId="555" xr:uid="{3E030FDA-DDA9-40B8-8BFA-85D8D69135D0}"/>
    <cellStyle name="20% - Accent3 4" xfId="71" xr:uid="{E6DF0CBF-AF4F-46D2-A6DD-E680F971E9BF}"/>
    <cellStyle name="20% - Accent3 4 2" xfId="424" xr:uid="{CBFC39CB-868C-4B2D-B0C2-E413866725AD}"/>
    <cellStyle name="20% - Accent3 4 2 2" xfId="757" xr:uid="{15522DDD-1942-4B9B-A1D6-021DB65DD1AB}"/>
    <cellStyle name="20% - Accent3 4 3" xfId="336" xr:uid="{E8545605-D668-444F-BE09-5FABAADC1903}"/>
    <cellStyle name="20% - Accent3 4 3 2" xfId="672" xr:uid="{1EA040EE-D02A-4BA3-ABCD-B5E96D1D3EA6}"/>
    <cellStyle name="20% - Accent3 4 4" xfId="556" xr:uid="{07B61453-97A9-4F44-99EF-CDE3F9FE44D5}"/>
    <cellStyle name="20% - Accent3 5" xfId="72" xr:uid="{E24CA2D7-DAE5-4839-8BBE-8D03414AB9AB}"/>
    <cellStyle name="20% - Accent3 5 2" xfId="425" xr:uid="{4066B1EF-A504-46E4-8A97-BD337037CF03}"/>
    <cellStyle name="20% - Accent3 5 2 2" xfId="758" xr:uid="{741449EC-C9D9-42EA-BAC8-44864D80EF6D}"/>
    <cellStyle name="20% - Accent3 5 3" xfId="337" xr:uid="{4DB29254-D2F8-4A17-AC1A-E4921CE9EA37}"/>
    <cellStyle name="20% - Accent3 5 3 2" xfId="673" xr:uid="{F2F7F84E-48E7-4222-9B50-FCC2DB5C4717}"/>
    <cellStyle name="20% - Accent3 5 4" xfId="557" xr:uid="{BF8E27C5-DF1B-4FA9-8936-DA43BF02232C}"/>
    <cellStyle name="20% - Accent3 6" xfId="73" xr:uid="{32B7F747-E7B2-4A15-A818-385F780063AC}"/>
    <cellStyle name="20% - Accent3 6 2" xfId="426" xr:uid="{6134F2ED-2505-4F5E-B362-1AA70304BA19}"/>
    <cellStyle name="20% - Accent3 6 2 2" xfId="759" xr:uid="{78775D35-8ED9-41D6-AD86-C51FB11D8395}"/>
    <cellStyle name="20% - Accent3 6 3" xfId="338" xr:uid="{2AA01966-99F3-428E-AB14-6394C6990D45}"/>
    <cellStyle name="20% - Accent3 6 3 2" xfId="674" xr:uid="{8F15ED48-E132-4B82-9550-0774F5E6EB1C}"/>
    <cellStyle name="20% - Accent3 6 4" xfId="558" xr:uid="{F71CA84E-2739-41E6-B1B2-1CB381F370DB}"/>
    <cellStyle name="20% - Accent3 7" xfId="74" xr:uid="{6552E935-F808-45C7-BA34-EFA0CD3B9106}"/>
    <cellStyle name="20% - Accent3 7 2" xfId="427" xr:uid="{0C6FF49F-BB2D-410B-BF65-E5DC3554E51D}"/>
    <cellStyle name="20% - Accent3 7 2 2" xfId="760" xr:uid="{981ED658-41EC-4818-A01F-1D26864BC997}"/>
    <cellStyle name="20% - Accent3 7 3" xfId="339" xr:uid="{C4323C08-DF42-452A-A628-F13558F02E8A}"/>
    <cellStyle name="20% - Accent3 7 3 2" xfId="675" xr:uid="{1FA42172-1FE8-4299-9508-0A5BF91E6988}"/>
    <cellStyle name="20% - Accent3 7 4" xfId="559" xr:uid="{C4A7D7D2-9AE6-4691-822E-20592824C47B}"/>
    <cellStyle name="20% - Accent3 8" xfId="75" xr:uid="{6FB9465C-C59A-4474-8291-AC7C7A9B24A8}"/>
    <cellStyle name="20% - Accent3 8 2" xfId="428" xr:uid="{07B5BF59-BB1F-4371-A267-2FF4E2989A3F}"/>
    <cellStyle name="20% - Accent3 8 2 2" xfId="761" xr:uid="{18C2663D-7D17-4CEE-AE4C-93B12CA522C8}"/>
    <cellStyle name="20% - Accent3 8 3" xfId="340" xr:uid="{2D9FA8BF-BE85-46EA-ADB7-F05C8C3F5ECA}"/>
    <cellStyle name="20% - Accent3 8 3 2" xfId="676" xr:uid="{522F812D-E0E4-4B1F-9D8B-422D88DDF273}"/>
    <cellStyle name="20% - Accent3 8 4" xfId="560" xr:uid="{0841B4BB-D837-4E22-B8F0-68AA6EE34725}"/>
    <cellStyle name="20% - Accent3 9" xfId="511" xr:uid="{35764479-32C2-441E-A718-ED78BAA3E1BC}"/>
    <cellStyle name="20% - Accent3 9 2" xfId="632" xr:uid="{F0E74BBC-18BF-402B-A4FE-CF7B00A40959}"/>
    <cellStyle name="20% - Accent4" xfId="28" builtinId="42" customBuiltin="1"/>
    <cellStyle name="20% - Accent4 10" xfId="534" xr:uid="{AE097337-B079-483F-8B04-9CA2121E1575}"/>
    <cellStyle name="20% - Accent4 2" xfId="76" xr:uid="{C6F523B2-DE5B-48B9-A680-23E005DACEFB}"/>
    <cellStyle name="20% - Accent4 2 2" xfId="429" xr:uid="{A6533588-C17B-497E-96E7-B6D25FA81CC4}"/>
    <cellStyle name="20% - Accent4 2 2 2" xfId="762" xr:uid="{AE25EF49-6A74-4A95-931B-72689F3AE1BF}"/>
    <cellStyle name="20% - Accent4 2 3" xfId="341" xr:uid="{32FBAD75-5F31-4E07-85B4-461BC5E6B0E7}"/>
    <cellStyle name="20% - Accent4 2 3 2" xfId="677" xr:uid="{E7DAB9FB-3D39-411C-A435-709F0A23D0B0}"/>
    <cellStyle name="20% - Accent4 2 4" xfId="561" xr:uid="{F718EDF7-D462-4EDD-B730-842324CA110E}"/>
    <cellStyle name="20% - Accent4 3" xfId="77" xr:uid="{044567D1-CDDE-4D18-9ABC-449A2E09D477}"/>
    <cellStyle name="20% - Accent4 3 2" xfId="430" xr:uid="{2137485C-EA14-46B4-8C00-B06E716AFD09}"/>
    <cellStyle name="20% - Accent4 3 2 2" xfId="763" xr:uid="{23B5E80B-673D-43AF-9067-47336935273D}"/>
    <cellStyle name="20% - Accent4 3 3" xfId="342" xr:uid="{4864CE4B-5CC5-46A5-BB19-EDE66372E100}"/>
    <cellStyle name="20% - Accent4 3 3 2" xfId="678" xr:uid="{48915D13-528B-4E0D-BB6C-CC22D93E317B}"/>
    <cellStyle name="20% - Accent4 3 4" xfId="562" xr:uid="{643A168C-E2B3-4A6A-9D9A-1714CB271145}"/>
    <cellStyle name="20% - Accent4 4" xfId="78" xr:uid="{1FF4B9CD-D2C6-4059-B776-6C1E29A8777E}"/>
    <cellStyle name="20% - Accent4 4 2" xfId="431" xr:uid="{3B1A5F72-6580-448D-B686-B5C227CF6C72}"/>
    <cellStyle name="20% - Accent4 4 2 2" xfId="764" xr:uid="{C5EABB92-6938-402C-85F2-3F91F44EAF94}"/>
    <cellStyle name="20% - Accent4 4 3" xfId="343" xr:uid="{66A1D968-D0D8-4D5C-95A2-756F422D0419}"/>
    <cellStyle name="20% - Accent4 4 3 2" xfId="679" xr:uid="{D224BA95-BF72-4478-B8CF-1A80EE4A28E8}"/>
    <cellStyle name="20% - Accent4 4 4" xfId="563" xr:uid="{F0EDAFBD-EF5C-41B2-995A-50DD6496B60C}"/>
    <cellStyle name="20% - Accent4 5" xfId="79" xr:uid="{91246DDD-F2A7-419F-8AD1-7DF1B6DB952B}"/>
    <cellStyle name="20% - Accent4 5 2" xfId="432" xr:uid="{07FE10F7-ED0D-45D1-A87D-6577B12ED920}"/>
    <cellStyle name="20% - Accent4 5 2 2" xfId="765" xr:uid="{E1217AE7-EDD0-4ABC-BD60-F943E62E9A22}"/>
    <cellStyle name="20% - Accent4 5 3" xfId="344" xr:uid="{DFDD6C24-5A12-4787-97B7-F108C6F82092}"/>
    <cellStyle name="20% - Accent4 5 3 2" xfId="680" xr:uid="{4D39FCD8-0E09-4EC0-A8EB-BD15A6A88407}"/>
    <cellStyle name="20% - Accent4 5 4" xfId="564" xr:uid="{7274EADD-8E29-40B5-AF3B-9D4A14C2B113}"/>
    <cellStyle name="20% - Accent4 6" xfId="80" xr:uid="{CAD7C7AC-F5CC-41F0-9241-253F9E27AAFE}"/>
    <cellStyle name="20% - Accent4 6 2" xfId="433" xr:uid="{5511CB40-B0F5-40E0-BA96-B1EE23940CCA}"/>
    <cellStyle name="20% - Accent4 6 2 2" xfId="766" xr:uid="{204F35C8-2DB7-40E5-95E7-563E63061A03}"/>
    <cellStyle name="20% - Accent4 6 3" xfId="345" xr:uid="{09CC101B-60EB-426E-8EC6-F02E57E0E8C8}"/>
    <cellStyle name="20% - Accent4 6 3 2" xfId="681" xr:uid="{8648A1A4-5D5A-498F-8B4D-6310FA44D61E}"/>
    <cellStyle name="20% - Accent4 6 4" xfId="565" xr:uid="{723F278B-AE05-4A42-9F86-E8398E0D6DF6}"/>
    <cellStyle name="20% - Accent4 7" xfId="81" xr:uid="{7E1CA038-4D4E-4ECB-86DD-15D4BE767815}"/>
    <cellStyle name="20% - Accent4 7 2" xfId="434" xr:uid="{719EC122-40EE-4C4D-B28A-C87D2B6BC89E}"/>
    <cellStyle name="20% - Accent4 7 2 2" xfId="767" xr:uid="{F1FEC389-3429-41FF-8853-69E36A10A951}"/>
    <cellStyle name="20% - Accent4 7 3" xfId="346" xr:uid="{1CA24F93-BDFC-4E20-89A0-C479725C6F84}"/>
    <cellStyle name="20% - Accent4 7 3 2" xfId="682" xr:uid="{D71DFA9A-AC9E-413A-BA00-0275ED111269}"/>
    <cellStyle name="20% - Accent4 7 4" xfId="566" xr:uid="{C1E9B7FB-819A-4149-B56E-974312700A8F}"/>
    <cellStyle name="20% - Accent4 8" xfId="82" xr:uid="{B4B7EBFB-E6D0-4710-87A9-145E4FF8C489}"/>
    <cellStyle name="20% - Accent4 8 2" xfId="435" xr:uid="{359067B1-F3CE-498C-A67E-F0BBFB6D7D71}"/>
    <cellStyle name="20% - Accent4 8 2 2" xfId="768" xr:uid="{5BBA0420-C51A-4FC8-A3C6-EBA01239046C}"/>
    <cellStyle name="20% - Accent4 8 3" xfId="347" xr:uid="{CE8444FE-1BDA-4349-80AA-32BFA61769A7}"/>
    <cellStyle name="20% - Accent4 8 3 2" xfId="683" xr:uid="{C32FDD2E-0ECD-4222-8533-860DFB18B0B0}"/>
    <cellStyle name="20% - Accent4 8 4" xfId="567" xr:uid="{DE949118-47C9-4F80-9321-248056179CC6}"/>
    <cellStyle name="20% - Accent4 9" xfId="515" xr:uid="{053E5777-DE57-4819-885D-56D1AE416D4A}"/>
    <cellStyle name="20% - Accent4 9 2" xfId="634" xr:uid="{7BE2924A-1D3F-4244-A976-93A305130E9D}"/>
    <cellStyle name="20% - Accent5" xfId="31" builtinId="46" customBuiltin="1"/>
    <cellStyle name="20% - Accent5 2" xfId="519" xr:uid="{A43CCE48-EC2A-4611-AEB6-A2D660687793}"/>
    <cellStyle name="20% - Accent5 2 2" xfId="636" xr:uid="{F3E23E8B-06EC-4292-99DE-C7F58AE6BE63}"/>
    <cellStyle name="20% - Accent5 3" xfId="536" xr:uid="{77F3BE92-DAA6-40E1-9E8B-768C29204C6A}"/>
    <cellStyle name="20% - Accent6" xfId="34" builtinId="50" customBuiltin="1"/>
    <cellStyle name="20% - Accent6 10" xfId="538" xr:uid="{F90F47D8-D430-40BC-9B56-173C3AA7F48E}"/>
    <cellStyle name="20% - Accent6 2" xfId="83" xr:uid="{031B5A29-785B-4F26-99D8-2380F77BCA7F}"/>
    <cellStyle name="20% - Accent6 2 2" xfId="436" xr:uid="{65060112-61A3-4068-8F33-9C21A390ADF8}"/>
    <cellStyle name="20% - Accent6 2 2 2" xfId="769" xr:uid="{0C82BF83-5BC2-498E-9780-A7C5D26B639A}"/>
    <cellStyle name="20% - Accent6 2 3" xfId="348" xr:uid="{5AA39D0E-E7E6-4D8D-A2DB-7629B67F875F}"/>
    <cellStyle name="20% - Accent6 2 3 2" xfId="684" xr:uid="{395ACA6C-A5DD-4DF6-9B5A-01AB96F9CBCC}"/>
    <cellStyle name="20% - Accent6 2 4" xfId="568" xr:uid="{E834D974-B990-4576-9AB8-08778BEFAB64}"/>
    <cellStyle name="20% - Accent6 3" xfId="84" xr:uid="{1793B19E-4218-4529-91FA-ADB8C3703E04}"/>
    <cellStyle name="20% - Accent6 3 2" xfId="437" xr:uid="{EB12581C-9289-46E3-A30F-CAE38FC23734}"/>
    <cellStyle name="20% - Accent6 3 2 2" xfId="770" xr:uid="{FAB4A21E-0BEF-4654-ADBA-985348F90563}"/>
    <cellStyle name="20% - Accent6 3 3" xfId="349" xr:uid="{98AA264D-3977-46C1-94EE-74C001E3A92E}"/>
    <cellStyle name="20% - Accent6 3 3 2" xfId="685" xr:uid="{95EC99B9-FA08-48A4-A2E4-562832222DF4}"/>
    <cellStyle name="20% - Accent6 3 4" xfId="569" xr:uid="{25254269-EB04-47D2-AE6C-0D557B9B6C38}"/>
    <cellStyle name="20% - Accent6 4" xfId="85" xr:uid="{4660969B-7584-4CBB-B629-4DAF7B0A836A}"/>
    <cellStyle name="20% - Accent6 4 2" xfId="438" xr:uid="{C1814180-E32A-4E15-A768-2F6F7527210A}"/>
    <cellStyle name="20% - Accent6 4 2 2" xfId="771" xr:uid="{F38380FB-E44D-452E-B12F-97DFFFC69403}"/>
    <cellStyle name="20% - Accent6 4 3" xfId="350" xr:uid="{078C2C93-FAA2-41AB-B54E-8C826EA90AB8}"/>
    <cellStyle name="20% - Accent6 4 3 2" xfId="686" xr:uid="{03F511D6-A02D-40E1-8584-950105C41E0C}"/>
    <cellStyle name="20% - Accent6 4 4" xfId="570" xr:uid="{FED666A3-7115-40B1-A0CB-44635565DD63}"/>
    <cellStyle name="20% - Accent6 5" xfId="86" xr:uid="{8D734DDB-A43F-4BD5-8918-B96FE6D46513}"/>
    <cellStyle name="20% - Accent6 5 2" xfId="439" xr:uid="{C9D2C4C5-C01D-4FFE-9731-BC6D17AAADB6}"/>
    <cellStyle name="20% - Accent6 5 2 2" xfId="772" xr:uid="{EDF015C2-C05F-4693-A4E6-3201E795299C}"/>
    <cellStyle name="20% - Accent6 5 3" xfId="351" xr:uid="{BFFEA9CC-133A-431C-8472-0102BC55DD8A}"/>
    <cellStyle name="20% - Accent6 5 3 2" xfId="687" xr:uid="{160E622C-9AF6-499B-BF93-EA606878DA47}"/>
    <cellStyle name="20% - Accent6 5 4" xfId="571" xr:uid="{54373F5C-5054-4D87-96B0-78131543D08E}"/>
    <cellStyle name="20% - Accent6 6" xfId="87" xr:uid="{91964A73-4992-40DA-9445-506B00F442FC}"/>
    <cellStyle name="20% - Accent6 6 2" xfId="440" xr:uid="{40A0B915-2E66-4455-88D9-653FAFCA01FB}"/>
    <cellStyle name="20% - Accent6 6 2 2" xfId="773" xr:uid="{720E1B41-69FE-48EC-B502-0AFFE90DAD44}"/>
    <cellStyle name="20% - Accent6 6 3" xfId="352" xr:uid="{ED9503A3-67F7-4588-B781-F5CCBBA68732}"/>
    <cellStyle name="20% - Accent6 6 3 2" xfId="688" xr:uid="{4927971C-E369-4F39-9B92-9C0EB4F07494}"/>
    <cellStyle name="20% - Accent6 6 4" xfId="572" xr:uid="{A47EEF73-F5DE-4E58-AFE0-89368E69EE7E}"/>
    <cellStyle name="20% - Accent6 7" xfId="88" xr:uid="{CD5A9A36-2BE5-457B-B0F5-099621837E21}"/>
    <cellStyle name="20% - Accent6 7 2" xfId="441" xr:uid="{52550D2A-075B-4D5A-B1F7-457CB36E42FF}"/>
    <cellStyle name="20% - Accent6 7 2 2" xfId="774" xr:uid="{895281E2-B705-4F6A-BF8B-828377CD0FEB}"/>
    <cellStyle name="20% - Accent6 7 3" xfId="353" xr:uid="{A6288EB2-BBE4-4249-B2D7-2CC2AE401BE3}"/>
    <cellStyle name="20% - Accent6 7 3 2" xfId="689" xr:uid="{CF1E4699-EDA4-4B22-AA2B-66880015F292}"/>
    <cellStyle name="20% - Accent6 7 4" xfId="573" xr:uid="{F69F96AE-936B-4075-94CA-3FD5E60E1F9B}"/>
    <cellStyle name="20% - Accent6 8" xfId="89" xr:uid="{21E981DE-4BEB-4AE8-988F-C97E24C9CD72}"/>
    <cellStyle name="20% - Accent6 8 2" xfId="442" xr:uid="{DB81E0E8-CF65-430B-82F5-BE46B9FCF554}"/>
    <cellStyle name="20% - Accent6 8 2 2" xfId="775" xr:uid="{98B1B23F-6513-4A7E-911F-0F16A09C0B23}"/>
    <cellStyle name="20% - Accent6 8 3" xfId="354" xr:uid="{E275FDC0-8536-4A8E-A31C-606070620A93}"/>
    <cellStyle name="20% - Accent6 8 3 2" xfId="690" xr:uid="{2FE171B0-A7FF-4A7A-B8C2-DB3D81E0EA73}"/>
    <cellStyle name="20% - Accent6 8 4" xfId="574" xr:uid="{F9930AC0-836C-489F-809C-013C23F16253}"/>
    <cellStyle name="20% - Accent6 9" xfId="523" xr:uid="{372BD3FA-5AB8-43E5-9EF8-05EE3DFD979B}"/>
    <cellStyle name="20% - Accent6 9 2" xfId="638" xr:uid="{59A855EA-AC44-45B7-98F9-2A2EAA8E80E5}"/>
    <cellStyle name="40% - Accent1" xfId="20" builtinId="31" customBuiltin="1"/>
    <cellStyle name="40% - Accent1 10" xfId="529" xr:uid="{3E059DE6-EFBD-48DB-9222-14C57BBA1FE7}"/>
    <cellStyle name="40% - Accent1 2" xfId="90" xr:uid="{9C82205C-DC9A-4135-8EA3-4205718FA31A}"/>
    <cellStyle name="40% - Accent1 2 2" xfId="443" xr:uid="{C2644E67-A096-471C-9FF7-60BEA2C92944}"/>
    <cellStyle name="40% - Accent1 2 2 2" xfId="776" xr:uid="{B7F22554-E51E-4C36-A95E-4E301827E47B}"/>
    <cellStyle name="40% - Accent1 2 3" xfId="355" xr:uid="{004D1658-CF33-43C4-A5B1-0AC4B7CCBC8A}"/>
    <cellStyle name="40% - Accent1 2 3 2" xfId="691" xr:uid="{C50929A0-42B1-4EDC-A0E3-53F4A3B48A09}"/>
    <cellStyle name="40% - Accent1 2 4" xfId="575" xr:uid="{750CC94C-916A-4474-B52C-8AB128D01A66}"/>
    <cellStyle name="40% - Accent1 3" xfId="91" xr:uid="{DF5CA62B-FE26-4A86-BB99-62FF47A14143}"/>
    <cellStyle name="40% - Accent1 3 2" xfId="444" xr:uid="{C9AE606B-F04F-4604-BD23-050EEC739326}"/>
    <cellStyle name="40% - Accent1 3 2 2" xfId="777" xr:uid="{AAE40B84-0BB2-4893-B8F4-5E8C0963B442}"/>
    <cellStyle name="40% - Accent1 3 3" xfId="356" xr:uid="{C8873B41-5B87-4936-A1BE-F60149E0AD9D}"/>
    <cellStyle name="40% - Accent1 3 3 2" xfId="692" xr:uid="{46D3B759-EDEE-4589-B2BC-3C6794330310}"/>
    <cellStyle name="40% - Accent1 3 4" xfId="576" xr:uid="{74A192EA-D487-4EAF-87C8-459F0E65EF76}"/>
    <cellStyle name="40% - Accent1 4" xfId="92" xr:uid="{1A648B66-DABF-455B-BCF2-C444B809AD85}"/>
    <cellStyle name="40% - Accent1 4 2" xfId="445" xr:uid="{FBC94248-F0C2-4279-9133-3196445E63B0}"/>
    <cellStyle name="40% - Accent1 4 2 2" xfId="778" xr:uid="{63DA6F74-990B-44CD-8579-51063623357D}"/>
    <cellStyle name="40% - Accent1 4 3" xfId="357" xr:uid="{77952F07-A699-429A-89B3-E3282F5A98B2}"/>
    <cellStyle name="40% - Accent1 4 3 2" xfId="693" xr:uid="{55CCC0AC-EA02-4A2D-880F-848DEB547967}"/>
    <cellStyle name="40% - Accent1 4 4" xfId="577" xr:uid="{72B8286E-1EFD-402B-B68E-9A6F6D55F69F}"/>
    <cellStyle name="40% - Accent1 5" xfId="93" xr:uid="{30FC0E67-5C3C-49F3-99FF-C43C16145C1E}"/>
    <cellStyle name="40% - Accent1 5 2" xfId="446" xr:uid="{379675CE-A2CE-49F1-A7A1-785BFC30B549}"/>
    <cellStyle name="40% - Accent1 5 2 2" xfId="779" xr:uid="{3A6EDFF5-1B51-4841-B0CD-D0905ED5EF3E}"/>
    <cellStyle name="40% - Accent1 5 3" xfId="358" xr:uid="{576849EB-E3B3-4E6A-8B4C-EF9156AFF8B0}"/>
    <cellStyle name="40% - Accent1 5 3 2" xfId="694" xr:uid="{8FEE706C-2C9E-4E7E-91E3-AD6AB043FC00}"/>
    <cellStyle name="40% - Accent1 5 4" xfId="578" xr:uid="{080DCA61-E0FA-4CEA-B821-0677AFFF5207}"/>
    <cellStyle name="40% - Accent1 6" xfId="94" xr:uid="{46E87071-EB4A-4897-A7D0-AE52243CC525}"/>
    <cellStyle name="40% - Accent1 6 2" xfId="447" xr:uid="{E85F04DA-70B7-4DC1-A913-376CC2FCC57B}"/>
    <cellStyle name="40% - Accent1 6 2 2" xfId="780" xr:uid="{6DCEBF37-7BFE-45EE-9684-EC5BD00865D8}"/>
    <cellStyle name="40% - Accent1 6 3" xfId="359" xr:uid="{879DF783-5824-4CAE-B8B3-643A87E39031}"/>
    <cellStyle name="40% - Accent1 6 3 2" xfId="695" xr:uid="{62C22582-8031-4D16-A8F4-2D612870973D}"/>
    <cellStyle name="40% - Accent1 6 4" xfId="579" xr:uid="{1ECEFEDC-25FA-4BD6-9DAE-5D327A0902F2}"/>
    <cellStyle name="40% - Accent1 7" xfId="95" xr:uid="{275A9784-0824-410F-8521-657C7A0ACBAD}"/>
    <cellStyle name="40% - Accent1 7 2" xfId="448" xr:uid="{8B4BBB0D-2DDB-4EA3-820D-78F33D378D8D}"/>
    <cellStyle name="40% - Accent1 7 2 2" xfId="781" xr:uid="{277ED8A2-03D0-4131-B031-EC351897BB04}"/>
    <cellStyle name="40% - Accent1 7 3" xfId="360" xr:uid="{380361E2-E1D7-4D09-8EDC-8D016CD28B80}"/>
    <cellStyle name="40% - Accent1 7 3 2" xfId="696" xr:uid="{0D77585D-723E-434B-BCC8-E7823FF79EEC}"/>
    <cellStyle name="40% - Accent1 7 4" xfId="580" xr:uid="{58C03CBD-9962-40FC-BEDB-FC9E8B553887}"/>
    <cellStyle name="40% - Accent1 8" xfId="96" xr:uid="{FFABED61-69C9-4811-B347-E411F2710F40}"/>
    <cellStyle name="40% - Accent1 8 2" xfId="449" xr:uid="{B1649F96-2FDD-4EF7-801F-B5CFAD9631FE}"/>
    <cellStyle name="40% - Accent1 8 2 2" xfId="782" xr:uid="{912EA4F6-F0FC-4F97-8224-BC729025FCFF}"/>
    <cellStyle name="40% - Accent1 8 3" xfId="361" xr:uid="{E2811F2A-6C86-4AFF-A297-FB64944C74D3}"/>
    <cellStyle name="40% - Accent1 8 3 2" xfId="697" xr:uid="{1C67523B-1EDE-4EE1-87AC-A7FCF4C68077}"/>
    <cellStyle name="40% - Accent1 8 4" xfId="581" xr:uid="{61AAC488-EFDB-40F7-95DC-10110B5403A1}"/>
    <cellStyle name="40% - Accent1 9" xfId="504" xr:uid="{E8DBBC10-07D5-4580-A5AB-A224A22B4734}"/>
    <cellStyle name="40% - Accent1 9 2" xfId="629" xr:uid="{3A461209-5B14-4B24-8C27-D0C22A07D303}"/>
    <cellStyle name="40% - Accent2" xfId="23" builtinId="35" customBuiltin="1"/>
    <cellStyle name="40% - Accent2 2" xfId="508" xr:uid="{E5D7547B-49E6-4194-ACA5-7679AC3A4390}"/>
    <cellStyle name="40% - Accent2 2 2" xfId="631" xr:uid="{DFD67D32-AD81-4100-AE4F-238D4064CB2F}"/>
    <cellStyle name="40% - Accent2 3" xfId="531" xr:uid="{08D9A46B-73B8-4854-8470-97A99DF4128A}"/>
    <cellStyle name="40% - Accent3" xfId="26" builtinId="39" customBuiltin="1"/>
    <cellStyle name="40% - Accent3 10" xfId="533" xr:uid="{4E9C7358-606F-4ACB-AC94-4C86F515379D}"/>
    <cellStyle name="40% - Accent3 2" xfId="97" xr:uid="{D6FD5A95-ECA0-4946-B092-B479B9D30AFB}"/>
    <cellStyle name="40% - Accent3 2 2" xfId="450" xr:uid="{146945E0-AE23-4019-9DC8-BE2AA1C971AF}"/>
    <cellStyle name="40% - Accent3 2 2 2" xfId="783" xr:uid="{5A426A41-E4AF-42DD-A508-6F2C06756D7A}"/>
    <cellStyle name="40% - Accent3 2 3" xfId="362" xr:uid="{AD32C4DB-18F8-47CF-A087-700CA12DB6E6}"/>
    <cellStyle name="40% - Accent3 2 3 2" xfId="698" xr:uid="{CD4C7E48-3DEA-4B6C-9163-90082DB066C3}"/>
    <cellStyle name="40% - Accent3 2 4" xfId="582" xr:uid="{0D9E0912-3CBA-4D61-B15E-E7D2111C44B0}"/>
    <cellStyle name="40% - Accent3 3" xfId="98" xr:uid="{1B65B935-719F-4412-903D-C2419C2CB90C}"/>
    <cellStyle name="40% - Accent3 3 2" xfId="451" xr:uid="{908D6024-7088-4117-A37F-1FA0CBC876EA}"/>
    <cellStyle name="40% - Accent3 3 2 2" xfId="784" xr:uid="{639FCCBA-AEAA-4EF0-89B6-58A7BC456F67}"/>
    <cellStyle name="40% - Accent3 3 3" xfId="363" xr:uid="{2D2A0B1D-C035-40EA-A2D6-039E397356D4}"/>
    <cellStyle name="40% - Accent3 3 3 2" xfId="699" xr:uid="{F5146B65-C854-463F-A517-4273B09B9558}"/>
    <cellStyle name="40% - Accent3 3 4" xfId="583" xr:uid="{6DFCCEA0-4EC1-489E-87E3-0667BC028770}"/>
    <cellStyle name="40% - Accent3 4" xfId="99" xr:uid="{C8E887B3-8711-4664-BFD3-9124B8F90E07}"/>
    <cellStyle name="40% - Accent3 4 2" xfId="452" xr:uid="{9F29B545-04BA-4C69-9FFA-76CE1B398548}"/>
    <cellStyle name="40% - Accent3 4 2 2" xfId="785" xr:uid="{B142DE13-F4ED-486D-9D0D-919DA87919B9}"/>
    <cellStyle name="40% - Accent3 4 3" xfId="364" xr:uid="{E90E5A27-F2A9-4A77-AB98-23126FC92916}"/>
    <cellStyle name="40% - Accent3 4 3 2" xfId="700" xr:uid="{A949EBAA-2464-4601-8ABE-6091AEAEDAD1}"/>
    <cellStyle name="40% - Accent3 4 4" xfId="584" xr:uid="{012BFC8C-DC38-4134-9A67-155E3014BFE1}"/>
    <cellStyle name="40% - Accent3 5" xfId="100" xr:uid="{3B2D6744-961E-452D-8DED-A138045E3E56}"/>
    <cellStyle name="40% - Accent3 5 2" xfId="453" xr:uid="{4306F9EC-50DD-42D3-BC2E-206DE135BBBE}"/>
    <cellStyle name="40% - Accent3 5 2 2" xfId="786" xr:uid="{57991561-F4D4-4A39-9D4E-B4F9ED074E43}"/>
    <cellStyle name="40% - Accent3 5 3" xfId="365" xr:uid="{67A8F3F9-1A3D-4223-9409-D4E7E1B5647C}"/>
    <cellStyle name="40% - Accent3 5 3 2" xfId="701" xr:uid="{D414FFE5-E507-497E-8F80-7A4D9295726B}"/>
    <cellStyle name="40% - Accent3 5 4" xfId="585" xr:uid="{DEBB6736-5A18-4D01-B6E8-A2E5986A51B2}"/>
    <cellStyle name="40% - Accent3 6" xfId="101" xr:uid="{753F363C-52CB-43C4-9C7B-474B5661E935}"/>
    <cellStyle name="40% - Accent3 6 2" xfId="454" xr:uid="{FC399275-AAC0-433D-A809-E6194639B290}"/>
    <cellStyle name="40% - Accent3 6 2 2" xfId="787" xr:uid="{777FB4CD-8C3D-4084-BA77-A9808EE36A21}"/>
    <cellStyle name="40% - Accent3 6 3" xfId="366" xr:uid="{2461B836-47D5-4895-84C9-3D1EEA81D0D9}"/>
    <cellStyle name="40% - Accent3 6 3 2" xfId="702" xr:uid="{DFBDC4BB-FF3C-4941-81DD-68E734D079F7}"/>
    <cellStyle name="40% - Accent3 6 4" xfId="586" xr:uid="{110E5FE0-42A6-4A8C-8AD3-130AF6050F9E}"/>
    <cellStyle name="40% - Accent3 7" xfId="102" xr:uid="{AF060CCE-55D6-499C-891A-49ACAFCC2786}"/>
    <cellStyle name="40% - Accent3 7 2" xfId="455" xr:uid="{E39873DD-000E-4C2F-8ECA-1D0CD7B6C104}"/>
    <cellStyle name="40% - Accent3 7 2 2" xfId="788" xr:uid="{8A1C9949-E596-42DD-8F5E-AB18A765FBE3}"/>
    <cellStyle name="40% - Accent3 7 3" xfId="367" xr:uid="{3C80385D-4887-4BC6-8378-84FD629CE1A1}"/>
    <cellStyle name="40% - Accent3 7 3 2" xfId="703" xr:uid="{33365D28-5AE6-4E7E-9BB9-62D4017660EA}"/>
    <cellStyle name="40% - Accent3 7 4" xfId="587" xr:uid="{1EAB54DA-35A4-4081-B7CB-8734609340D9}"/>
    <cellStyle name="40% - Accent3 8" xfId="103" xr:uid="{4BC00673-B987-4DD6-828D-B56FED44F4A8}"/>
    <cellStyle name="40% - Accent3 8 2" xfId="456" xr:uid="{CE16F2A3-D54C-440E-AE30-A106B36A75F6}"/>
    <cellStyle name="40% - Accent3 8 2 2" xfId="789" xr:uid="{B3D1DDF2-703E-4C85-BE6B-206F6A59A658}"/>
    <cellStyle name="40% - Accent3 8 3" xfId="368" xr:uid="{397EAC41-2FCA-4628-B01A-418981A64B18}"/>
    <cellStyle name="40% - Accent3 8 3 2" xfId="704" xr:uid="{E40B708C-D471-482F-B526-02169FAD00DA}"/>
    <cellStyle name="40% - Accent3 8 4" xfId="588" xr:uid="{54D42B7D-C8C1-4083-BC3E-399C74868446}"/>
    <cellStyle name="40% - Accent3 9" xfId="512" xr:uid="{9033C224-0EC3-423F-B8B0-56B12222D191}"/>
    <cellStyle name="40% - Accent3 9 2" xfId="633" xr:uid="{1877BA20-33FE-494B-B95B-4E270F195030}"/>
    <cellStyle name="40% - Accent4" xfId="29" builtinId="43" customBuiltin="1"/>
    <cellStyle name="40% - Accent4 10" xfId="535" xr:uid="{AE62A945-71FD-4294-8E90-D2D6D13DEAF6}"/>
    <cellStyle name="40% - Accent4 2" xfId="104" xr:uid="{87ACF841-478C-4A6B-B80C-E47F7CFCACC0}"/>
    <cellStyle name="40% - Accent4 2 2" xfId="457" xr:uid="{4C90C288-2764-4644-A734-DDF7F2FC48EF}"/>
    <cellStyle name="40% - Accent4 2 2 2" xfId="790" xr:uid="{737B0F08-F89F-4AE5-9858-82B09645276E}"/>
    <cellStyle name="40% - Accent4 2 3" xfId="369" xr:uid="{7EC70488-D494-40A1-BB0D-D45F1649792F}"/>
    <cellStyle name="40% - Accent4 2 3 2" xfId="705" xr:uid="{DA716B68-C0B2-487D-A259-96A49D0ECDF9}"/>
    <cellStyle name="40% - Accent4 2 4" xfId="589" xr:uid="{3A931262-7E59-4BE3-816F-8544165F73B3}"/>
    <cellStyle name="40% - Accent4 3" xfId="105" xr:uid="{2CBB0BE9-E356-4C90-8871-85355EA72939}"/>
    <cellStyle name="40% - Accent4 3 2" xfId="458" xr:uid="{5A2549F0-4047-4F19-9B83-CEC04E275347}"/>
    <cellStyle name="40% - Accent4 3 2 2" xfId="791" xr:uid="{6075ED2F-3D7C-45A3-9D1C-852F6DDF2346}"/>
    <cellStyle name="40% - Accent4 3 3" xfId="370" xr:uid="{E559ED14-A4C2-4B14-85E9-67FDD0CEE280}"/>
    <cellStyle name="40% - Accent4 3 3 2" xfId="706" xr:uid="{804716AB-F127-41E8-AD16-FBED746D2CE0}"/>
    <cellStyle name="40% - Accent4 3 4" xfId="590" xr:uid="{0C2DADD6-B1D4-4DE5-BBC2-C95CCF8CC828}"/>
    <cellStyle name="40% - Accent4 4" xfId="106" xr:uid="{DD37DD87-C293-46AE-9120-088D974ABE79}"/>
    <cellStyle name="40% - Accent4 4 2" xfId="459" xr:uid="{0D3B6F81-F332-40E2-A1F5-35EED08BE0D9}"/>
    <cellStyle name="40% - Accent4 4 2 2" xfId="792" xr:uid="{1D4548FB-2EB4-4CBF-9D68-89611CE3FB54}"/>
    <cellStyle name="40% - Accent4 4 3" xfId="371" xr:uid="{1FCD4E96-B21E-4186-80AC-A76346AD4259}"/>
    <cellStyle name="40% - Accent4 4 3 2" xfId="707" xr:uid="{1D41870A-3E34-4DC0-923C-A484FAC81CE1}"/>
    <cellStyle name="40% - Accent4 4 4" xfId="591" xr:uid="{E6955228-3F89-422E-8C65-19A62C2CCC4D}"/>
    <cellStyle name="40% - Accent4 5" xfId="107" xr:uid="{AA042110-C1F2-4ADD-8F16-81E4043F1E4F}"/>
    <cellStyle name="40% - Accent4 5 2" xfId="460" xr:uid="{48A7A17B-B2BE-46B7-941B-2A9DE2EBA375}"/>
    <cellStyle name="40% - Accent4 5 2 2" xfId="793" xr:uid="{0D76D964-B7E3-4E7A-A19E-B99C25D1285B}"/>
    <cellStyle name="40% - Accent4 5 3" xfId="372" xr:uid="{238331D0-F357-48E9-827B-3726BD7A5C1F}"/>
    <cellStyle name="40% - Accent4 5 3 2" xfId="708" xr:uid="{DBBBD95F-1736-4545-975A-98E24B239A48}"/>
    <cellStyle name="40% - Accent4 5 4" xfId="592" xr:uid="{0428B819-3526-412B-8E3B-28951154ADFF}"/>
    <cellStyle name="40% - Accent4 6" xfId="108" xr:uid="{9F05F274-158B-4E03-BD56-5C3027C8886B}"/>
    <cellStyle name="40% - Accent4 6 2" xfId="461" xr:uid="{8DA230FD-F193-4B60-9908-5B41B22658FF}"/>
    <cellStyle name="40% - Accent4 6 2 2" xfId="794" xr:uid="{67D50E4D-EDBD-4815-A6ED-D4E243DF9DBF}"/>
    <cellStyle name="40% - Accent4 6 3" xfId="373" xr:uid="{2A8E1918-EEC6-4542-A93E-E4ACFBDB7DE6}"/>
    <cellStyle name="40% - Accent4 6 3 2" xfId="709" xr:uid="{A3362356-1091-4204-9985-9939A7FE5B2F}"/>
    <cellStyle name="40% - Accent4 6 4" xfId="593" xr:uid="{E6493E48-A375-49A4-B6F3-001F14B70A0E}"/>
    <cellStyle name="40% - Accent4 7" xfId="109" xr:uid="{6DDF14F7-F7EE-454F-9A1D-532D7002A85D}"/>
    <cellStyle name="40% - Accent4 7 2" xfId="462" xr:uid="{A3C83D9A-E65C-4168-90B5-76E929FFC824}"/>
    <cellStyle name="40% - Accent4 7 2 2" xfId="795" xr:uid="{91BA7D74-3015-4DBD-8EDA-64E756809D48}"/>
    <cellStyle name="40% - Accent4 7 3" xfId="374" xr:uid="{B9F9BE6F-397D-4226-A50A-6271EBBC99C6}"/>
    <cellStyle name="40% - Accent4 7 3 2" xfId="710" xr:uid="{2786E0AF-99C2-4F73-9FB1-8F988D05CBDC}"/>
    <cellStyle name="40% - Accent4 7 4" xfId="594" xr:uid="{DE9851F3-6F74-43E4-AD2A-D2BEF080ACF1}"/>
    <cellStyle name="40% - Accent4 8" xfId="110" xr:uid="{71BF57B6-1143-4D41-AAC8-11B53661D92C}"/>
    <cellStyle name="40% - Accent4 8 2" xfId="463" xr:uid="{BBABFE5C-C9CB-4E7D-993D-7D0563E3C93F}"/>
    <cellStyle name="40% - Accent4 8 2 2" xfId="796" xr:uid="{8CF82A17-4DF0-4557-93DC-D7C0156D34A4}"/>
    <cellStyle name="40% - Accent4 8 3" xfId="375" xr:uid="{67A99125-17BC-4C16-8630-81DCAD78B04E}"/>
    <cellStyle name="40% - Accent4 8 3 2" xfId="711" xr:uid="{36EACE85-1651-4058-AE84-C98102B2FF02}"/>
    <cellStyle name="40% - Accent4 8 4" xfId="595" xr:uid="{B1A25D8D-345E-4E2B-9EE6-1C765A3344E5}"/>
    <cellStyle name="40% - Accent4 9" xfId="516" xr:uid="{4E86C276-BC55-4432-96DB-2B5446846E74}"/>
    <cellStyle name="40% - Accent4 9 2" xfId="635" xr:uid="{4D93CFD7-F0D0-480B-A45C-A47792CB35A2}"/>
    <cellStyle name="40% - Accent5" xfId="32" builtinId="47" customBuiltin="1"/>
    <cellStyle name="40% - Accent5 10" xfId="537" xr:uid="{EB8CFCCC-FA87-4088-86D8-C5FE3928BEF4}"/>
    <cellStyle name="40% - Accent5 2" xfId="111" xr:uid="{63728235-6F67-4589-B035-D1D40E8959C2}"/>
    <cellStyle name="40% - Accent5 2 2" xfId="464" xr:uid="{6F56C8A9-3F1A-4288-AEC4-1D683382C607}"/>
    <cellStyle name="40% - Accent5 2 2 2" xfId="797" xr:uid="{5136BE56-646F-4A2D-8841-84AA1DEE6DEB}"/>
    <cellStyle name="40% - Accent5 2 3" xfId="376" xr:uid="{643AA05F-BDEE-4469-A170-817AA36EF282}"/>
    <cellStyle name="40% - Accent5 2 3 2" xfId="712" xr:uid="{10AB00C5-032C-4882-9160-E408A95032FA}"/>
    <cellStyle name="40% - Accent5 2 4" xfId="596" xr:uid="{F3D70477-8298-4E35-99E8-36122A0F46B6}"/>
    <cellStyle name="40% - Accent5 3" xfId="112" xr:uid="{14C44943-E896-4EBC-B11A-147347FCF735}"/>
    <cellStyle name="40% - Accent5 3 2" xfId="465" xr:uid="{608B028A-CD60-4390-9356-F5213BB903BD}"/>
    <cellStyle name="40% - Accent5 3 2 2" xfId="798" xr:uid="{A9627B1A-C325-453F-B0AF-F848559B5271}"/>
    <cellStyle name="40% - Accent5 3 3" xfId="377" xr:uid="{CD615179-AAF1-4099-AEB5-5A3ECE799DE5}"/>
    <cellStyle name="40% - Accent5 3 3 2" xfId="713" xr:uid="{1C200933-399C-4ED0-8840-CFBF09B2F39A}"/>
    <cellStyle name="40% - Accent5 3 4" xfId="597" xr:uid="{D255EB3F-8334-468C-AE17-59608C632BFB}"/>
    <cellStyle name="40% - Accent5 4" xfId="113" xr:uid="{3712C0CC-9004-4A00-8C13-8A0C5B22ED24}"/>
    <cellStyle name="40% - Accent5 4 2" xfId="466" xr:uid="{E1CB13EE-B054-4E86-BDAA-4CA7E8645649}"/>
    <cellStyle name="40% - Accent5 4 2 2" xfId="799" xr:uid="{3EC826F2-F37A-44A4-980E-D60E3663754C}"/>
    <cellStyle name="40% - Accent5 4 3" xfId="378" xr:uid="{2C800D82-37EB-43A3-A477-2DEC3843A801}"/>
    <cellStyle name="40% - Accent5 4 3 2" xfId="714" xr:uid="{3FB6627E-D16A-4CAD-94A9-F8EA8406B170}"/>
    <cellStyle name="40% - Accent5 4 4" xfId="598" xr:uid="{40B4D63E-1D75-43C0-8CD3-D36046D70F9C}"/>
    <cellStyle name="40% - Accent5 5" xfId="114" xr:uid="{0D3EC9CE-9F21-4780-AD6D-8B2037EC35D3}"/>
    <cellStyle name="40% - Accent5 5 2" xfId="467" xr:uid="{93489262-3F60-460E-93BD-D701C2D0D95E}"/>
    <cellStyle name="40% - Accent5 5 2 2" xfId="800" xr:uid="{EF76BBB9-44A6-4404-BF3A-F9451ECA4BC0}"/>
    <cellStyle name="40% - Accent5 5 3" xfId="379" xr:uid="{54E8755A-3DB6-4AED-BC27-9FAE61076912}"/>
    <cellStyle name="40% - Accent5 5 3 2" xfId="715" xr:uid="{0E015225-5639-4468-B905-97EEE95A1F40}"/>
    <cellStyle name="40% - Accent5 5 4" xfId="599" xr:uid="{2EF29129-9502-4CD1-8393-780DE9D88CB7}"/>
    <cellStyle name="40% - Accent5 6" xfId="115" xr:uid="{FDE339F8-E78E-47EF-865E-618C3D7C41EA}"/>
    <cellStyle name="40% - Accent5 6 2" xfId="468" xr:uid="{86878B86-F1E6-4006-B03C-CDC7B9F3641E}"/>
    <cellStyle name="40% - Accent5 6 2 2" xfId="801" xr:uid="{666C9F47-47B4-44AF-86D0-12373E50A752}"/>
    <cellStyle name="40% - Accent5 6 3" xfId="380" xr:uid="{ABE3D1CE-CCE8-4DEA-B3E2-E9B2EE6FB6EE}"/>
    <cellStyle name="40% - Accent5 6 3 2" xfId="716" xr:uid="{9DA7F623-2EA9-497C-90D7-7B2CED5FA217}"/>
    <cellStyle name="40% - Accent5 6 4" xfId="600" xr:uid="{7C180406-11DE-4451-B36B-A024DE5BBD10}"/>
    <cellStyle name="40% - Accent5 7" xfId="116" xr:uid="{E389C978-7CB0-4BE9-A678-34D0B7226A73}"/>
    <cellStyle name="40% - Accent5 7 2" xfId="469" xr:uid="{2389D7CA-845E-4888-8CC5-4DC1ACE327DA}"/>
    <cellStyle name="40% - Accent5 7 2 2" xfId="802" xr:uid="{B43638EE-E735-489A-ACA3-E4E1E5E1B2ED}"/>
    <cellStyle name="40% - Accent5 7 3" xfId="381" xr:uid="{594D7E89-854A-4CA2-BCD0-157B5ED39C05}"/>
    <cellStyle name="40% - Accent5 7 3 2" xfId="717" xr:uid="{26B7AF1D-51CA-40BC-82A7-5E296504111D}"/>
    <cellStyle name="40% - Accent5 7 4" xfId="601" xr:uid="{8C4A8F32-B083-42BF-938E-9A026A54C811}"/>
    <cellStyle name="40% - Accent5 8" xfId="117" xr:uid="{4838376C-0820-4157-8E8E-BAC58DD8A047}"/>
    <cellStyle name="40% - Accent5 8 2" xfId="470" xr:uid="{464CFDAB-282A-472F-AE14-F8A50DF653F1}"/>
    <cellStyle name="40% - Accent5 8 2 2" xfId="803" xr:uid="{2AD36316-1F3D-4616-86EE-FFB1D9A27FC1}"/>
    <cellStyle name="40% - Accent5 8 3" xfId="382" xr:uid="{2BCA9B59-6AE4-4A04-A733-06CA90D4F7BD}"/>
    <cellStyle name="40% - Accent5 8 3 2" xfId="718" xr:uid="{3476659F-5DF9-49B3-956D-AD54A415721C}"/>
    <cellStyle name="40% - Accent5 8 4" xfId="602" xr:uid="{A8018ABF-5F52-4338-A6EB-D6448231791A}"/>
    <cellStyle name="40% - Accent5 9" xfId="520" xr:uid="{7EE5F39B-BF42-4329-83B7-918F0B07F08C}"/>
    <cellStyle name="40% - Accent5 9 2" xfId="637" xr:uid="{BDEEBC95-16B7-4258-8426-88B261F44C24}"/>
    <cellStyle name="40% - Accent6" xfId="35" builtinId="51" customBuiltin="1"/>
    <cellStyle name="40% - Accent6 10" xfId="539" xr:uid="{34B8779D-D2BD-4BB8-B42C-0302499C055E}"/>
    <cellStyle name="40% - Accent6 2" xfId="118" xr:uid="{9FD498ED-5EC6-4CD3-B293-3FD8F1ED798C}"/>
    <cellStyle name="40% - Accent6 2 2" xfId="471" xr:uid="{2E97B7A5-BC6A-413A-9D5A-6E5DFE7B906E}"/>
    <cellStyle name="40% - Accent6 2 2 2" xfId="804" xr:uid="{CAD3D0C4-4849-43C2-A3AC-50200D537614}"/>
    <cellStyle name="40% - Accent6 2 3" xfId="383" xr:uid="{37A2271D-9F69-4243-B75D-3144279B7A56}"/>
    <cellStyle name="40% - Accent6 2 3 2" xfId="719" xr:uid="{1E37A101-56AA-47FB-89EA-3C7D3BF2B9F9}"/>
    <cellStyle name="40% - Accent6 2 4" xfId="603" xr:uid="{0D0032AE-8053-44C4-8850-82AAA8F8E772}"/>
    <cellStyle name="40% - Accent6 3" xfId="119" xr:uid="{D4CB3289-8216-4EB1-8B67-37F11DFAA082}"/>
    <cellStyle name="40% - Accent6 3 2" xfId="472" xr:uid="{16A900FC-0538-48E4-90AB-CDF3A6F9DA2B}"/>
    <cellStyle name="40% - Accent6 3 2 2" xfId="805" xr:uid="{CC813FB4-7C92-44D8-B34B-B1C80190DE30}"/>
    <cellStyle name="40% - Accent6 3 3" xfId="384" xr:uid="{1A8AAF36-FFEC-4E01-A0EE-C0FB81576277}"/>
    <cellStyle name="40% - Accent6 3 3 2" xfId="720" xr:uid="{FB2DCFCD-3A98-491C-B67B-A629778AF18B}"/>
    <cellStyle name="40% - Accent6 3 4" xfId="604" xr:uid="{93B65E21-9A32-4208-95F9-95410FB6DD74}"/>
    <cellStyle name="40% - Accent6 4" xfId="120" xr:uid="{0727F478-CACE-4A98-BF07-C2F09982F2CF}"/>
    <cellStyle name="40% - Accent6 4 2" xfId="473" xr:uid="{39AF7188-5A06-4932-B856-55754CC39725}"/>
    <cellStyle name="40% - Accent6 4 2 2" xfId="806" xr:uid="{C3828489-AFAD-4419-AD69-1CC7752699AF}"/>
    <cellStyle name="40% - Accent6 4 3" xfId="385" xr:uid="{F9E3ECCC-85A1-4302-9271-BF5245079D26}"/>
    <cellStyle name="40% - Accent6 4 3 2" xfId="721" xr:uid="{C77DA664-4FFB-4FE0-853F-79E43342A975}"/>
    <cellStyle name="40% - Accent6 4 4" xfId="605" xr:uid="{5255D153-A399-4963-AA9D-0D8DDF69F81C}"/>
    <cellStyle name="40% - Accent6 5" xfId="121" xr:uid="{C2A95BD3-B5F6-471F-872C-E8A4FC84F3A1}"/>
    <cellStyle name="40% - Accent6 5 2" xfId="474" xr:uid="{57BFEA12-31F8-43FE-A30B-331FC632138D}"/>
    <cellStyle name="40% - Accent6 5 2 2" xfId="807" xr:uid="{6CA28964-1856-4062-9C3E-B97952BC0571}"/>
    <cellStyle name="40% - Accent6 5 3" xfId="386" xr:uid="{FED4B0CE-5702-4101-9A32-32A96B7B503A}"/>
    <cellStyle name="40% - Accent6 5 3 2" xfId="722" xr:uid="{D01B6C78-955C-47D3-8A56-A8C9BD526436}"/>
    <cellStyle name="40% - Accent6 5 4" xfId="606" xr:uid="{C399BEBC-0C0D-48D4-A5E8-0DC7C297D992}"/>
    <cellStyle name="40% - Accent6 6" xfId="122" xr:uid="{B6C9210B-C982-4364-9E3B-803EE32343E1}"/>
    <cellStyle name="40% - Accent6 6 2" xfId="475" xr:uid="{1EF3E4AD-B6E7-4AED-A27F-B42FF3E4FE8C}"/>
    <cellStyle name="40% - Accent6 6 2 2" xfId="808" xr:uid="{CCD272A7-27E6-42C9-B705-4A87FB29B01C}"/>
    <cellStyle name="40% - Accent6 6 3" xfId="387" xr:uid="{FCE8B93B-09FB-47C3-9DA8-A0AB9DEB08E1}"/>
    <cellStyle name="40% - Accent6 6 3 2" xfId="723" xr:uid="{ED72D5DD-1846-4D65-AF8B-9B0466C0516C}"/>
    <cellStyle name="40% - Accent6 6 4" xfId="607" xr:uid="{7F9CC0F2-34F2-4B16-8C52-CA814070A156}"/>
    <cellStyle name="40% - Accent6 7" xfId="123" xr:uid="{E9CDCA69-513D-4AD0-B664-7B64FB28EB33}"/>
    <cellStyle name="40% - Accent6 7 2" xfId="476" xr:uid="{9AB95676-15A7-488D-B333-DA0BAA669B11}"/>
    <cellStyle name="40% - Accent6 7 2 2" xfId="809" xr:uid="{4FD8B2B6-ACD0-4E86-911A-377600E5D79C}"/>
    <cellStyle name="40% - Accent6 7 3" xfId="388" xr:uid="{8A48D961-B11A-4D94-BF91-F5FE7704C896}"/>
    <cellStyle name="40% - Accent6 7 3 2" xfId="724" xr:uid="{712F8B64-C6CD-429A-886E-AB209BA071F2}"/>
    <cellStyle name="40% - Accent6 7 4" xfId="608" xr:uid="{9232AD09-498C-4F1C-9903-2C31887B100D}"/>
    <cellStyle name="40% - Accent6 8" xfId="124" xr:uid="{9E141891-DC59-498A-9E6C-A2239FC50C44}"/>
    <cellStyle name="40% - Accent6 8 2" xfId="477" xr:uid="{545D0CA6-7703-4420-863C-E3917E3A1F1D}"/>
    <cellStyle name="40% - Accent6 8 2 2" xfId="810" xr:uid="{23F11AF1-B5E3-4176-B24E-59DC6FCFD793}"/>
    <cellStyle name="40% - Accent6 8 3" xfId="389" xr:uid="{A66AD6A9-B819-4093-89E9-98F4BB0ACA5F}"/>
    <cellStyle name="40% - Accent6 8 3 2" xfId="725" xr:uid="{52F64277-5AF3-4CC2-B347-2F971C7B320D}"/>
    <cellStyle name="40% - Accent6 8 4" xfId="609" xr:uid="{C0A904B5-542B-43A7-AC80-972D75E29A1E}"/>
    <cellStyle name="40% - Accent6 9" xfId="524" xr:uid="{71C48E5A-677A-497D-811D-9E60AD21C636}"/>
    <cellStyle name="40% - Accent6 9 2" xfId="639" xr:uid="{DB64929C-E372-4118-9D65-6E0B5F3FE723}"/>
    <cellStyle name="60% - Accent1 10" xfId="312" xr:uid="{E54F5698-A482-4B86-B5D9-C26904B2748C}"/>
    <cellStyle name="60% - Accent1 2" xfId="125" xr:uid="{F353D44C-F325-4DEE-8758-3EC47B867421}"/>
    <cellStyle name="60% - Accent1 3" xfId="126" xr:uid="{45E53A3F-08CC-458C-A985-7F3774306693}"/>
    <cellStyle name="60% - Accent1 4" xfId="127" xr:uid="{23E9DC35-64BA-4632-9768-1C46FF203110}"/>
    <cellStyle name="60% - Accent1 5" xfId="128" xr:uid="{BB063173-1465-4A9F-AE2B-ED8F20BC0548}"/>
    <cellStyle name="60% - Accent1 6" xfId="129" xr:uid="{D80419BA-471D-4A42-8C43-6EDB0C559CB8}"/>
    <cellStyle name="60% - Accent1 7" xfId="130" xr:uid="{0A650708-A879-46F4-83B7-32BF1F4854C8}"/>
    <cellStyle name="60% - Accent1 8" xfId="131" xr:uid="{40C0C2C9-7AEF-4077-9243-DB560157802D}"/>
    <cellStyle name="60% - Accent1 9" xfId="505" xr:uid="{58EC88C0-38B8-4707-8799-F19BA043DF26}"/>
    <cellStyle name="60% - Accent2 10" xfId="313" xr:uid="{2843CFCA-DEC1-48F2-B9E3-26719B42D737}"/>
    <cellStyle name="60% - Accent2 2" xfId="132" xr:uid="{18FA8FF7-A51F-4001-9CFB-4B535D763528}"/>
    <cellStyle name="60% - Accent2 3" xfId="133" xr:uid="{9490D102-7764-4FD4-9CD4-FBC05C3CBA79}"/>
    <cellStyle name="60% - Accent2 4" xfId="134" xr:uid="{B5BBDAA0-5679-4672-BE81-05F8DF4EFD4E}"/>
    <cellStyle name="60% - Accent2 5" xfId="135" xr:uid="{A8B9E2BC-4EDC-4AC9-A48D-07D629B1781B}"/>
    <cellStyle name="60% - Accent2 6" xfId="136" xr:uid="{D4E27FD3-DC34-4DA7-A964-9D18AEF1CF77}"/>
    <cellStyle name="60% - Accent2 7" xfId="137" xr:uid="{9698CB2E-9111-466A-8443-9D57A1C3DE1D}"/>
    <cellStyle name="60% - Accent2 8" xfId="138" xr:uid="{43863DC5-DFDE-47B6-AFCE-FC9CEB3AA812}"/>
    <cellStyle name="60% - Accent2 9" xfId="509" xr:uid="{15CAE92F-AA48-4BE6-9703-44F74880BFDB}"/>
    <cellStyle name="60% - Accent3 10" xfId="314" xr:uid="{05BDC35E-FAAF-4659-BB09-FCAD75BFA66F}"/>
    <cellStyle name="60% - Accent3 2" xfId="139" xr:uid="{AFD85BD9-1D35-414A-99ED-99321DD938B3}"/>
    <cellStyle name="60% - Accent3 3" xfId="140" xr:uid="{897F5851-691A-4609-B66E-E280CD685CE7}"/>
    <cellStyle name="60% - Accent3 4" xfId="141" xr:uid="{66E4F1DF-A507-4463-8895-C13E975D721A}"/>
    <cellStyle name="60% - Accent3 5" xfId="142" xr:uid="{043CBB5A-B789-4E7B-B603-6108A3756FFD}"/>
    <cellStyle name="60% - Accent3 6" xfId="143" xr:uid="{4447325A-76D4-4508-AFF6-3B1A9C9E5616}"/>
    <cellStyle name="60% - Accent3 7" xfId="144" xr:uid="{0A2244A1-B8B1-4119-BB17-ADC4DC87B38A}"/>
    <cellStyle name="60% - Accent3 8" xfId="145" xr:uid="{9256B4DD-1459-4558-A420-B311A89945DA}"/>
    <cellStyle name="60% - Accent3 9" xfId="513" xr:uid="{76CDEA48-8074-4D38-93A7-87CD9980A358}"/>
    <cellStyle name="60% - Accent4 10" xfId="315" xr:uid="{EFD13082-C439-436A-869B-EAC74C46F4B1}"/>
    <cellStyle name="60% - Accent4 2" xfId="146" xr:uid="{DC90F17B-53F2-4E14-8DBE-230BA767644C}"/>
    <cellStyle name="60% - Accent4 3" xfId="147" xr:uid="{96E35ACE-3960-4A0D-B143-A2046A23F726}"/>
    <cellStyle name="60% - Accent4 4" xfId="148" xr:uid="{965B3203-C30D-4479-A72D-38851E35E656}"/>
    <cellStyle name="60% - Accent4 5" xfId="149" xr:uid="{D3228680-8472-4AC1-B75A-5CFDE927D08A}"/>
    <cellStyle name="60% - Accent4 6" xfId="150" xr:uid="{F171149B-BC08-4F41-A9E7-AC056B0D0403}"/>
    <cellStyle name="60% - Accent4 7" xfId="151" xr:uid="{963A246B-8998-4457-B5BE-43FFBA8AF067}"/>
    <cellStyle name="60% - Accent4 8" xfId="152" xr:uid="{E72B9BCC-88A1-47BA-A641-EEBD78D352D5}"/>
    <cellStyle name="60% - Accent4 9" xfId="517" xr:uid="{1B2E59B6-BF48-4BF3-854E-2E80A49382CA}"/>
    <cellStyle name="60% - Accent5 10" xfId="316" xr:uid="{4ED7756B-9EFB-4950-B509-0C3E9CD749CC}"/>
    <cellStyle name="60% - Accent5 2" xfId="153" xr:uid="{D1A90A2F-D452-40F5-98BC-52E9C3036254}"/>
    <cellStyle name="60% - Accent5 3" xfId="154" xr:uid="{1F150E8A-070E-435B-8632-704B3BE9C5F0}"/>
    <cellStyle name="60% - Accent5 4" xfId="155" xr:uid="{7CF9AE6B-5901-4D75-B9F6-4000FDF7995E}"/>
    <cellStyle name="60% - Accent5 5" xfId="156" xr:uid="{42679CC8-3618-4DE6-A896-E7E814769102}"/>
    <cellStyle name="60% - Accent5 6" xfId="157" xr:uid="{410F2422-0A60-4FDE-818A-BBEAC1DE164B}"/>
    <cellStyle name="60% - Accent5 7" xfId="158" xr:uid="{4F093039-177F-41F7-80C2-EC174995A3EF}"/>
    <cellStyle name="60% - Accent5 8" xfId="159" xr:uid="{531DC6AB-FD67-49BF-A085-605C889131F3}"/>
    <cellStyle name="60% - Accent5 9" xfId="521" xr:uid="{4000DF14-86AB-4AE8-A00C-DFFEC8E0B0C1}"/>
    <cellStyle name="60% - Accent6 10" xfId="317" xr:uid="{EC4A8ADD-4C06-488A-A119-BBD0F4A18734}"/>
    <cellStyle name="60% - Accent6 2" xfId="160" xr:uid="{FDE8E727-3583-4D00-B2B6-8EF06099EFD0}"/>
    <cellStyle name="60% - Accent6 3" xfId="161" xr:uid="{11E29911-7A36-41C9-BB3A-AF42F6A5BB72}"/>
    <cellStyle name="60% - Accent6 4" xfId="162" xr:uid="{63176953-4FB1-4A5A-B464-79F28A5E6232}"/>
    <cellStyle name="60% - Accent6 5" xfId="163" xr:uid="{9FE59827-C18D-4640-89BA-AC9913734DF1}"/>
    <cellStyle name="60% - Accent6 6" xfId="164" xr:uid="{EBECF4AA-9A96-4820-90CA-F13E821A38DF}"/>
    <cellStyle name="60% - Accent6 7" xfId="165" xr:uid="{B0DCCCF2-ED7F-4944-BDD5-0065AA06E5F9}"/>
    <cellStyle name="60% - Accent6 8" xfId="166" xr:uid="{7FFF0F85-DD12-48D7-91A7-F1ED4BBAA705}"/>
    <cellStyle name="60% - Accent6 9" xfId="525" xr:uid="{C78A9131-64BF-4184-847B-D5BBA2EA0C42}"/>
    <cellStyle name="Accent1" xfId="18" builtinId="29" customBuiltin="1"/>
    <cellStyle name="Accent1 2" xfId="167" xr:uid="{02FCD3E5-1633-4230-8517-358E2FC93E9A}"/>
    <cellStyle name="Accent1 3" xfId="168" xr:uid="{8E1563DC-A729-467F-96E9-26B39B32B95E}"/>
    <cellStyle name="Accent1 4" xfId="169" xr:uid="{61C959EF-F77F-42C8-B347-0B12EDE0284D}"/>
    <cellStyle name="Accent1 5" xfId="170" xr:uid="{89B11D03-C270-481B-AFFA-FAE27935BFB0}"/>
    <cellStyle name="Accent1 6" xfId="171" xr:uid="{D67A4CD3-3FD5-4B00-9E59-49B04D48CCF9}"/>
    <cellStyle name="Accent1 7" xfId="172" xr:uid="{09902E59-E5D5-407D-A6DF-22C54996A224}"/>
    <cellStyle name="Accent1 8" xfId="173" xr:uid="{A6CFA80B-4F5C-421F-8BCC-69F61988F235}"/>
    <cellStyle name="Accent1 9" xfId="502" xr:uid="{8989B8DE-B55F-48D9-B94B-DFBE81FEB278}"/>
    <cellStyle name="Accent2" xfId="21" builtinId="33" customBuiltin="1"/>
    <cellStyle name="Accent2 2" xfId="174" xr:uid="{D229F692-CC16-41CD-A832-8D455F108B30}"/>
    <cellStyle name="Accent2 3" xfId="175" xr:uid="{4F5A6CB0-3390-49A7-847F-7D70CE16BC4E}"/>
    <cellStyle name="Accent2 4" xfId="176" xr:uid="{6F8A890D-0115-4C6F-BE13-94A67AD19E18}"/>
    <cellStyle name="Accent2 5" xfId="177" xr:uid="{2BAE383D-9036-43B7-A732-1269AE135BCE}"/>
    <cellStyle name="Accent2 6" xfId="178" xr:uid="{C9708994-726E-4BF9-B17B-B3221FC1C1D5}"/>
    <cellStyle name="Accent2 7" xfId="179" xr:uid="{18F7DF9C-740A-4806-9BFB-9E185A3E1E75}"/>
    <cellStyle name="Accent2 8" xfId="180" xr:uid="{F8847B93-D264-412E-B675-820D7F0BCE79}"/>
    <cellStyle name="Accent2 9" xfId="506" xr:uid="{F1465C6F-034F-4634-A7BE-AD46D739639D}"/>
    <cellStyle name="Accent3" xfId="24" builtinId="37" customBuiltin="1"/>
    <cellStyle name="Accent3 2" xfId="181" xr:uid="{FF2A2288-A1C0-4DE1-899C-AC97637D46E0}"/>
    <cellStyle name="Accent3 3" xfId="182" xr:uid="{1FD9F1E1-3BC1-40F0-A1AF-18D5A2FDCB3D}"/>
    <cellStyle name="Accent3 4" xfId="183" xr:uid="{A5A50CD4-1CD3-45CF-AF35-E5FAAEC91DDC}"/>
    <cellStyle name="Accent3 5" xfId="184" xr:uid="{65605747-348A-43E8-9A17-1B195E9D7BD8}"/>
    <cellStyle name="Accent3 6" xfId="185" xr:uid="{F4731CE7-ACF1-4258-8544-5C6BA8773B48}"/>
    <cellStyle name="Accent3 7" xfId="186" xr:uid="{C0E6B91B-21DC-4967-B670-28523F4E8B25}"/>
    <cellStyle name="Accent3 8" xfId="187" xr:uid="{3C517D08-7746-4F16-8D0A-BE0657A7DADD}"/>
    <cellStyle name="Accent3 9" xfId="510" xr:uid="{A2A8A60C-F989-434F-AC21-F6B2FD8C1456}"/>
    <cellStyle name="Accent4" xfId="27" builtinId="41" customBuiltin="1"/>
    <cellStyle name="Accent4 2" xfId="188" xr:uid="{5E953A08-406F-4AB1-B258-2E08D93D36DD}"/>
    <cellStyle name="Accent4 3" xfId="189" xr:uid="{885CDF7E-A508-4863-BF75-5180B8AE0338}"/>
    <cellStyle name="Accent4 4" xfId="190" xr:uid="{343233C1-C646-4016-A0E8-F84FF99C4D6C}"/>
    <cellStyle name="Accent4 5" xfId="191" xr:uid="{7FEDA56E-35AB-4D40-B267-107BF43CCD2A}"/>
    <cellStyle name="Accent4 6" xfId="192" xr:uid="{B1B6D319-AE8E-4491-8063-AA11DF80F074}"/>
    <cellStyle name="Accent4 7" xfId="193" xr:uid="{099C077A-BCC4-4A87-B845-464E9F135E19}"/>
    <cellStyle name="Accent4 8" xfId="194" xr:uid="{7C7E8299-EB8D-45F4-9075-C3D2499077D6}"/>
    <cellStyle name="Accent4 9" xfId="514" xr:uid="{A6718D70-5C95-4EAC-9698-376DB4145181}"/>
    <cellStyle name="Accent5" xfId="30" builtinId="45" customBuiltin="1"/>
    <cellStyle name="Accent5 2" xfId="518" xr:uid="{DC6CFC88-A982-4DED-A8B4-47A17CC11363}"/>
    <cellStyle name="Accent6" xfId="33" builtinId="49" customBuiltin="1"/>
    <cellStyle name="Accent6 2" xfId="195" xr:uid="{B3822BBE-0DAB-49A9-A649-5B147F732FB7}"/>
    <cellStyle name="Accent6 3" xfId="196" xr:uid="{56625F64-C61F-4D3C-8332-6D6D1BF80045}"/>
    <cellStyle name="Accent6 4" xfId="197" xr:uid="{112E2A76-A779-4A16-8967-40586F662C34}"/>
    <cellStyle name="Accent6 5" xfId="198" xr:uid="{79EC34E3-D33E-44ED-93EE-3598F43C9657}"/>
    <cellStyle name="Accent6 6" xfId="199" xr:uid="{FB33E5E9-A2D1-4156-95A9-7B50B8C1DDE4}"/>
    <cellStyle name="Accent6 7" xfId="200" xr:uid="{4694192C-060A-446F-B418-18CFDA57A733}"/>
    <cellStyle name="Accent6 8" xfId="201" xr:uid="{1AC98B0A-27EC-49F6-8857-F67CD2BE7F5C}"/>
    <cellStyle name="Accent6 9" xfId="522" xr:uid="{1651B8C0-9B97-4165-AEC7-D026EFBCAD6C}"/>
    <cellStyle name="Bad" xfId="9" builtinId="27" customBuiltin="1"/>
    <cellStyle name="Bad 2" xfId="202" xr:uid="{A9EB30F5-ADA7-4642-84BC-41394324E3CD}"/>
    <cellStyle name="Bad 3" xfId="203" xr:uid="{93EBC2DF-7199-422F-9871-3E5A3F0A6E62}"/>
    <cellStyle name="Bad 4" xfId="204" xr:uid="{FC600D3B-C732-49A2-93A0-390A169795A3}"/>
    <cellStyle name="Bad 5" xfId="205" xr:uid="{8EEA7796-4E52-43BC-8462-CEA93D624BF0}"/>
    <cellStyle name="Bad 6" xfId="206" xr:uid="{E5131768-7186-46B0-AE29-7B76BA610398}"/>
    <cellStyle name="Bad 7" xfId="207" xr:uid="{55CE26A6-FD88-4AA6-B5C8-24DCC3D65D7D}"/>
    <cellStyle name="Bad 8" xfId="208" xr:uid="{E4A2A8C7-D1D2-4264-A269-B79C2A9F6820}"/>
    <cellStyle name="Bad 9" xfId="492" xr:uid="{B81562C2-BCBB-4B19-AD0A-FF2DF4D9A859}"/>
    <cellStyle name="Calculation" xfId="12" builtinId="22" customBuiltin="1"/>
    <cellStyle name="Calculation 2" xfId="209" xr:uid="{F5E97723-A55D-4EDD-B180-14E49A67C921}"/>
    <cellStyle name="Calculation 3" xfId="210" xr:uid="{A1596BEF-0F43-44A1-A951-56CF102E4BD6}"/>
    <cellStyle name="Calculation 4" xfId="211" xr:uid="{A0E27F4B-F5C8-43C8-BD37-212A53C28600}"/>
    <cellStyle name="Calculation 5" xfId="212" xr:uid="{541F93F4-6B83-48AA-AB0A-F52119ACFA21}"/>
    <cellStyle name="Calculation 6" xfId="213" xr:uid="{A6A400C0-FB5E-4E92-AD51-918C768B3898}"/>
    <cellStyle name="Calculation 7" xfId="214" xr:uid="{320B396D-E92C-4928-A2D0-B087D9F87D68}"/>
    <cellStyle name="Calculation 8" xfId="215" xr:uid="{388A49B7-7FEC-416D-B572-5A3B3D0203C3}"/>
    <cellStyle name="Calculation 9" xfId="496" xr:uid="{1A968347-F926-4DE7-99B7-2EECF051809D}"/>
    <cellStyle name="Check Cell" xfId="14" builtinId="23" customBuiltin="1"/>
    <cellStyle name="Check Cell 2" xfId="498" xr:uid="{A3401FC3-2F34-40BA-98DA-C5DE186BD955}"/>
    <cellStyle name="Comma 2" xfId="39" xr:uid="{9CDDE43B-421F-44F2-B1F7-AC67CDECFDAF}"/>
    <cellStyle name="Comma 2 2" xfId="643" xr:uid="{613F582E-456B-4623-ACF8-1E5740497D31}"/>
    <cellStyle name="Comma 2 3" xfId="620" xr:uid="{CA744263-72DD-4808-B194-4C0D61226B16}"/>
    <cellStyle name="Comma 3" xfId="621" xr:uid="{D525B57B-49B2-4C1D-BDC4-05F0BC8D6021}"/>
    <cellStyle name="Currency 2" xfId="40" xr:uid="{C1908685-87D7-4BFC-871A-35880CEFBFDD}"/>
    <cellStyle name="Currency 2 2" xfId="622" xr:uid="{82303FB9-2A0C-43C2-BE9D-8CE3DBDEFBD9}"/>
    <cellStyle name="Currency 2 3" xfId="644" xr:uid="{9931B67C-9890-4A7E-B2BB-F016654A98C9}"/>
    <cellStyle name="Currency 2 4" xfId="617" xr:uid="{E35F8A7B-97B5-4845-9461-99AF54C66A93}"/>
    <cellStyle name="Currency 3" xfId="42" xr:uid="{FBFA1434-B4DB-4A55-A876-627D872C9297}"/>
    <cellStyle name="Currency 3 2" xfId="400" xr:uid="{A5505A5A-4653-4621-9B28-1CD86916B826}"/>
    <cellStyle name="Currency 3 2 2" xfId="735" xr:uid="{C12D8D90-04F7-4469-82CA-538F7E301F5D}"/>
    <cellStyle name="Currency 3 3" xfId="653" xr:uid="{023E2218-6AE0-434D-8735-0E62675CD518}"/>
    <cellStyle name="Currency 4" xfId="397" xr:uid="{CDA787EF-F10A-4E40-AB86-83A0BA29AE84}"/>
    <cellStyle name="Currency 5" xfId="640" xr:uid="{D8234561-0DB3-48BE-AB31-49BF210A8AD0}"/>
    <cellStyle name="Currency 6" xfId="37" xr:uid="{05C6984A-DA5F-4880-BA7E-A1BEA96D01D1}"/>
    <cellStyle name="Explanatory Text" xfId="16" builtinId="53" customBuiltin="1"/>
    <cellStyle name="Explanatory Text 2" xfId="500" xr:uid="{3B7782C7-36BC-4647-91F0-386BF7159F0A}"/>
    <cellStyle name="Good" xfId="8" builtinId="26" customBuiltin="1"/>
    <cellStyle name="Good 2" xfId="216" xr:uid="{B13A6FB4-469B-460F-9D7D-EB0E1E923B74}"/>
    <cellStyle name="Good 3" xfId="217" xr:uid="{BE1FE176-FC87-4225-AA87-0F1F66621146}"/>
    <cellStyle name="Good 4" xfId="218" xr:uid="{2593BD1F-6ADC-4F6B-BC9D-79BBDF89702A}"/>
    <cellStyle name="Good 5" xfId="219" xr:uid="{7B69882A-6CA5-4FCB-9ACF-33E286A5555E}"/>
    <cellStyle name="Good 6" xfId="220" xr:uid="{8AEBD887-0069-4F64-AC25-A956725F4B74}"/>
    <cellStyle name="Good 7" xfId="221" xr:uid="{3C839F45-07DC-48C3-9540-71129B13C0BE}"/>
    <cellStyle name="Good 8" xfId="222" xr:uid="{EFAF0FE6-23A1-4E95-8DDD-CB2E39370936}"/>
    <cellStyle name="Good 9" xfId="491" xr:uid="{59080005-BC2D-49A3-8C0F-3729C9036317}"/>
    <cellStyle name="Heading 1" xfId="4" builtinId="16" customBuiltin="1"/>
    <cellStyle name="Heading 1 2" xfId="223" xr:uid="{F8DFCAA1-881E-4307-BDF5-96373AA2FACB}"/>
    <cellStyle name="Heading 1 3" xfId="224" xr:uid="{6FA013B1-B143-4AA8-B265-6D46AB2A1E1F}"/>
    <cellStyle name="Heading 1 4" xfId="225" xr:uid="{BA4D33BE-FEE0-4589-99C4-48986AE14CBC}"/>
    <cellStyle name="Heading 1 5" xfId="226" xr:uid="{6DC4457C-0D24-4EE9-A569-FC3C2732858F}"/>
    <cellStyle name="Heading 1 6" xfId="227" xr:uid="{EB317123-860F-422F-9DCE-8ECCC10E6015}"/>
    <cellStyle name="Heading 1 7" xfId="228" xr:uid="{7844E58C-46B9-486D-A8D2-EF0DC6F8E182}"/>
    <cellStyle name="Heading 1 8" xfId="229" xr:uid="{4AFB39B7-89D6-43B5-872A-A25C17CCB00F}"/>
    <cellStyle name="Heading 1 9" xfId="487" xr:uid="{17BD5F84-2498-4533-A8BB-4A0207D9FCFE}"/>
    <cellStyle name="Heading 2" xfId="5" builtinId="17" customBuiltin="1"/>
    <cellStyle name="Heading 2 2" xfId="230" xr:uid="{60711604-1833-4535-AB2F-89E9D7173CF0}"/>
    <cellStyle name="Heading 2 3" xfId="231" xr:uid="{B5A4B127-DB8B-4A3E-9162-7598DB5FC6E7}"/>
    <cellStyle name="Heading 2 4" xfId="232" xr:uid="{D2A56964-3018-4455-8AA3-15F595500449}"/>
    <cellStyle name="Heading 2 5" xfId="233" xr:uid="{3786BB3A-CCA9-4F9A-B7AF-27F0602255FF}"/>
    <cellStyle name="Heading 2 6" xfId="234" xr:uid="{EE5B63A0-6139-419B-A428-A760136FA33A}"/>
    <cellStyle name="Heading 2 7" xfId="235" xr:uid="{F48813AF-6522-49AF-8F0C-C0806E8502A9}"/>
    <cellStyle name="Heading 2 8" xfId="236" xr:uid="{5FD366EA-AF2E-4AE9-AEA6-11679A624D18}"/>
    <cellStyle name="Heading 2 9" xfId="488" xr:uid="{C8276695-CE95-470D-BFBD-05995E98ECC4}"/>
    <cellStyle name="Heading 3" xfId="6" builtinId="18" customBuiltin="1"/>
    <cellStyle name="Heading 3 2" xfId="237" xr:uid="{2FB7B4D0-24AF-4169-B542-3DFD2A9ACA87}"/>
    <cellStyle name="Heading 3 3" xfId="238" xr:uid="{C85A28F8-A7C5-45F6-89AF-60908C4D2553}"/>
    <cellStyle name="Heading 3 4" xfId="239" xr:uid="{703E106E-9AF0-4AD2-AEA5-8180DF9B4ED6}"/>
    <cellStyle name="Heading 3 5" xfId="240" xr:uid="{3DA923AE-FFE3-48F8-9831-8EF20BEFF39D}"/>
    <cellStyle name="Heading 3 6" xfId="241" xr:uid="{9FB8F094-DE47-4E05-B44F-C895364A909E}"/>
    <cellStyle name="Heading 3 7" xfId="242" xr:uid="{81B153F5-2044-4111-B9D9-5930471422A7}"/>
    <cellStyle name="Heading 3 8" xfId="243" xr:uid="{71C0CCBF-F10A-4B02-A227-E4B3AD7EDC13}"/>
    <cellStyle name="Heading 3 9" xfId="489" xr:uid="{43A2AAED-65B8-4DE5-8351-1D9558814071}"/>
    <cellStyle name="Heading 4" xfId="7" builtinId="19" customBuiltin="1"/>
    <cellStyle name="Heading 4 2" xfId="244" xr:uid="{6928C458-D9CE-4ED5-8142-971FF8ED7991}"/>
    <cellStyle name="Heading 4 3" xfId="245" xr:uid="{A61E57E3-4238-4416-82A6-FD87615381A6}"/>
    <cellStyle name="Heading 4 4" xfId="246" xr:uid="{8CC89121-17A7-4F27-84D6-8D2A7CCC4E05}"/>
    <cellStyle name="Heading 4 5" xfId="247" xr:uid="{6D56F149-D50E-49CC-A5C8-50BA70CE9374}"/>
    <cellStyle name="Heading 4 6" xfId="248" xr:uid="{018304DC-7885-4010-905D-B22356350F66}"/>
    <cellStyle name="Heading 4 7" xfId="249" xr:uid="{488D38C1-035E-4128-83F6-B2F8FAABC083}"/>
    <cellStyle name="Heading 4 8" xfId="250" xr:uid="{3113E054-7268-4790-B620-FB9A078BFC90}"/>
    <cellStyle name="Heading 4 9" xfId="490" xr:uid="{4C30666C-F7D5-4F44-A3DB-0C3369E1EF4E}"/>
    <cellStyle name="Input" xfId="10" builtinId="20" customBuiltin="1"/>
    <cellStyle name="Input 2" xfId="251" xr:uid="{AB599095-12B9-4FC2-B59D-95057BAE0672}"/>
    <cellStyle name="Input 3" xfId="252" xr:uid="{A5CEF934-D98C-4C54-B85A-5686651B83FA}"/>
    <cellStyle name="Input 4" xfId="253" xr:uid="{03CDE8DF-A00F-4FC7-A4BE-FECC36AD2DB9}"/>
    <cellStyle name="Input 5" xfId="254" xr:uid="{523EC8E1-0FD9-4890-998B-4DD084C7B0C0}"/>
    <cellStyle name="Input 6" xfId="255" xr:uid="{2378B6A9-0BB2-4546-B41A-09C5C160127E}"/>
    <cellStyle name="Input 7" xfId="256" xr:uid="{99139A0E-0DD7-458E-85E2-00796488E02B}"/>
    <cellStyle name="Input 8" xfId="257" xr:uid="{AA88A26C-A624-4F6E-98DF-D7F877C303DB}"/>
    <cellStyle name="Input 9" xfId="494" xr:uid="{1672B288-3F2E-451B-86AF-A8C8B3F8E3BB}"/>
    <cellStyle name="Linked Cell" xfId="13" builtinId="24" customBuiltin="1"/>
    <cellStyle name="Linked Cell 2" xfId="258" xr:uid="{B33DCF84-7ABA-4E6C-BE3B-98B63F03A5DC}"/>
    <cellStyle name="Linked Cell 3" xfId="259" xr:uid="{20D44C43-4352-4E97-9C87-9EB1B75AF3FD}"/>
    <cellStyle name="Linked Cell 4" xfId="260" xr:uid="{ED7EECB7-D3D8-46DB-BC67-4F79A5AC12BB}"/>
    <cellStyle name="Linked Cell 5" xfId="261" xr:uid="{5A9FCF47-5E6E-4C35-8C7F-D94C8EA3F389}"/>
    <cellStyle name="Linked Cell 6" xfId="262" xr:uid="{128C54BA-887A-44DE-950B-F9E433DB404C}"/>
    <cellStyle name="Linked Cell 7" xfId="263" xr:uid="{96744B3A-45C8-4744-9FC9-E528AB3E261B}"/>
    <cellStyle name="Linked Cell 8" xfId="264" xr:uid="{6EB04615-CBBB-4B89-A7D0-5DBDD0395A5E}"/>
    <cellStyle name="Linked Cell 9" xfId="497" xr:uid="{3CD176C3-52FE-4C63-A6E7-591420D40935}"/>
    <cellStyle name="Neutral 10" xfId="311" xr:uid="{6B286B04-6312-4A49-B7C3-15227C5FBDD8}"/>
    <cellStyle name="Neutral 2" xfId="265" xr:uid="{65A4A137-4731-416D-A14F-453F7B5C44A3}"/>
    <cellStyle name="Neutral 3" xfId="266" xr:uid="{2BF1E4AA-D055-411D-8D6A-876AFDE71EEA}"/>
    <cellStyle name="Neutral 4" xfId="267" xr:uid="{57ED1EED-87A4-4BEC-A7FB-E19F74D36973}"/>
    <cellStyle name="Neutral 5" xfId="268" xr:uid="{D754EA04-5730-4E01-B719-CFE2BA229F9D}"/>
    <cellStyle name="Neutral 6" xfId="269" xr:uid="{A0240E4A-C331-44C1-8590-886F5B80E84F}"/>
    <cellStyle name="Neutral 7" xfId="270" xr:uid="{B0373C05-63D8-4D75-A1F4-AA22CB112EFC}"/>
    <cellStyle name="Neutral 8" xfId="271" xr:uid="{3EB790FA-95A1-4CE3-8905-C6DB532417FB}"/>
    <cellStyle name="Neutral 9" xfId="493" xr:uid="{564BE139-1378-4ADB-BBA8-00CE177F43A6}"/>
    <cellStyle name="Normal" xfId="0" builtinId="0"/>
    <cellStyle name="Normal 10" xfId="3" xr:uid="{00000000-0005-0000-0000-000002000000}"/>
    <cellStyle name="Normal 10 2" xfId="398" xr:uid="{E49F22D6-7B8F-44C7-97A7-BCB11CF775A2}"/>
    <cellStyle name="Normal 10 2 2" xfId="733" xr:uid="{8C8B77C8-4CDA-4487-8363-FED8933199FE}"/>
    <cellStyle name="Normal 10 3" xfId="641" xr:uid="{939CB4A7-9CA7-419B-817F-A1DB32F7D64F}"/>
    <cellStyle name="Normal 11" xfId="318" xr:uid="{B47201DA-83FE-4F07-BCA2-A4392CE5E920}"/>
    <cellStyle name="Normal 11 2" xfId="654" xr:uid="{BAE1CE34-B013-4076-98C8-F7D40B96F635}"/>
    <cellStyle name="Normal 12" xfId="486" xr:uid="{57DF1149-1215-4819-99DF-D4A37592AA12}"/>
    <cellStyle name="Normal 13" xfId="626" xr:uid="{086E5D4B-EDAB-4636-99BB-DB2E7B780F44}"/>
    <cellStyle name="Normal 14" xfId="526" xr:uid="{C7F1638C-BED6-406E-B229-F46C0F0E957B}"/>
    <cellStyle name="Normal 15" xfId="36" xr:uid="{F57236A7-5CDD-4C6B-A9D8-03F21F72CE75}"/>
    <cellStyle name="Normal 18" xfId="272" xr:uid="{2B0F8DB4-C9E7-44C0-9A5D-1F634E9AB617}"/>
    <cellStyle name="Normal 2" xfId="1" xr:uid="{00000000-0005-0000-0000-000003000000}"/>
    <cellStyle name="Normal 2 10" xfId="273" xr:uid="{154438D6-72BD-4A25-997D-56483285F2EA}"/>
    <cellStyle name="Normal 2 2" xfId="41" xr:uid="{83DDDE50-2557-4D20-88EB-324357795A54}"/>
    <cellStyle name="Normal 2 2 2" xfId="274" xr:uid="{B03D2F1E-B52B-41FF-B22A-DFA81E11FBA4}"/>
    <cellStyle name="Normal 2 2 3" xfId="52" xr:uid="{F6B7FD8C-9969-4C1F-9BA2-77D8ACE0B2DB}"/>
    <cellStyle name="Normal 2 2 3 2" xfId="649" xr:uid="{5997BE05-A0E9-4C58-B577-7C20DEEB118C}"/>
    <cellStyle name="Normal 2 2 3 3" xfId="618" xr:uid="{69909D77-F2A7-4C7E-A367-5F30299D0047}"/>
    <cellStyle name="Normal 2 3" xfId="275" xr:uid="{D4DA484F-B5FF-49A5-8B5E-9E28D7D6F690}"/>
    <cellStyle name="Normal 2 3 2" xfId="478" xr:uid="{E3A1FB67-15B9-477E-B89E-A24C4E410655}"/>
    <cellStyle name="Normal 2 3 2 2" xfId="811" xr:uid="{A27A360E-BA88-4E04-8644-A2A3FBB5EFF8}"/>
    <cellStyle name="Normal 2 3 3" xfId="390" xr:uid="{8304D6DB-B616-401D-B97C-535E5983BF5A}"/>
    <cellStyle name="Normal 2 3 3 2" xfId="726" xr:uid="{49B13308-ADEC-421C-86BF-8ECF15541652}"/>
    <cellStyle name="Normal 2 3 4" xfId="610" xr:uid="{6BC40F1D-EBAA-453F-9169-2DEF361C7191}"/>
    <cellStyle name="Normal 2 4" xfId="276" xr:uid="{A36F2385-69AE-42C1-96D6-303C7C4A28A0}"/>
    <cellStyle name="Normal 2 5" xfId="47" xr:uid="{3DF2B445-0A6D-4BF1-8781-F8ACB6155F90}"/>
    <cellStyle name="Normal 26" xfId="277" xr:uid="{E613532D-2BDC-4142-995C-4CE835B95FF4}"/>
    <cellStyle name="Normal 3" xfId="2" xr:uid="{00000000-0005-0000-0000-000004000000}"/>
    <cellStyle name="Normal 3 2" xfId="53" xr:uid="{C43EF946-53D1-44D0-9113-D5E30265906A}"/>
    <cellStyle name="Normal 3 3" xfId="48" xr:uid="{C67D054C-EF58-44E0-BFE0-7AB4A571ADD1}"/>
    <cellStyle name="Normal 3 3 2" xfId="647" xr:uid="{3D6852A5-A906-45B1-8799-D7FE95F2BCDF}"/>
    <cellStyle name="Normal 3 3 3" xfId="619" xr:uid="{566BA9A7-12C8-4661-A82E-93F7BCC605E3}"/>
    <cellStyle name="Normal 3 4" xfId="399" xr:uid="{3F3C736A-531B-4B0D-BB4B-7FF41831BD70}"/>
    <cellStyle name="Normal 3 4 2" xfId="734" xr:uid="{2DA32C2C-A067-4A52-885F-A23BBDE7A348}"/>
    <cellStyle name="Normal 3 5" xfId="642" xr:uid="{94DAFF36-6774-4E5F-9CAB-B6395CAD173E}"/>
    <cellStyle name="Normal 3 6" xfId="38" xr:uid="{228AA0D6-78D8-4AC1-8177-65B74EF3C929}"/>
    <cellStyle name="Normal 4" xfId="45" xr:uid="{2A0DE8C3-F06E-41AE-92FC-45D48B988B40}"/>
    <cellStyle name="Normal 4 2" xfId="54" xr:uid="{2A0735FF-2BFC-4136-885A-C594C9B2D024}"/>
    <cellStyle name="Normal 4 3" xfId="49" xr:uid="{AC9EC6BE-493B-4AF8-8A08-2C9481EC55FF}"/>
    <cellStyle name="Normal 4 3 2" xfId="648" xr:uid="{04384044-496F-422A-8C00-F01C64FC832B}"/>
    <cellStyle name="Normal 4 3 3" xfId="623" xr:uid="{83D0AA35-DFA0-4AC7-A10B-014508E2802F}"/>
    <cellStyle name="Normal 4 4" xfId="403" xr:uid="{E2BFE72B-E5A3-4A63-B49C-6E6114F7483D}"/>
    <cellStyle name="Normal 4 4 2" xfId="737" xr:uid="{612C06E2-9DEE-4F81-B0AF-B6BDC7B6D564}"/>
    <cellStyle name="Normal 4 5" xfId="652" xr:uid="{B159368E-FECE-4D14-8234-A6245E946283}"/>
    <cellStyle name="Normal 5" xfId="46" xr:uid="{6552149E-0E24-42CE-8C7C-8FF58F603C53}"/>
    <cellStyle name="Normal 5 2" xfId="50" xr:uid="{4B3B261F-5C8C-4B15-AB27-843B958DD59D}"/>
    <cellStyle name="Normal 5 3" xfId="278" xr:uid="{999736F6-68A5-4D0C-98A6-7988CAE214C1}"/>
    <cellStyle name="Normal 5 4" xfId="404" xr:uid="{1F1F68AC-73A9-430B-A6C2-949732FE3588}"/>
    <cellStyle name="Normal 5 4 2" xfId="738" xr:uid="{ECDE66BB-CCF1-447E-A48A-F39FA8DF9C4C}"/>
    <cellStyle name="Normal 5 5" xfId="646" xr:uid="{D0805392-73F8-4AA8-AC67-122281508C09}"/>
    <cellStyle name="Normal 6" xfId="51" xr:uid="{843688DD-1D0B-418B-8B17-5EAD8DF5A79E}"/>
    <cellStyle name="Normal 7" xfId="308" xr:uid="{B90A7934-F07F-4B31-88BE-355A5EBB6399}"/>
    <cellStyle name="Normal 7 2" xfId="405" xr:uid="{A58DBA08-C535-46DD-9D49-7EC18EDBDDBA}"/>
    <cellStyle name="Normal 7 2 2" xfId="624" xr:uid="{B4A3BB9C-3A9D-4C9E-ABBF-D1F32D1C78ED}"/>
    <cellStyle name="Normal 7 3" xfId="625" xr:uid="{CE60684D-90B3-4197-B5B2-5C9FE599CAB0}"/>
    <cellStyle name="Normal 8" xfId="309" xr:uid="{007BD788-F565-469C-B7EB-B9DB719AEC56}"/>
    <cellStyle name="Normal 8 2" xfId="406" xr:uid="{AE211AFE-825F-4411-8B4C-2C4BFDA722D1}"/>
    <cellStyle name="Normal 8 2 2" xfId="739" xr:uid="{C080E7B0-D168-4222-8079-2E7FA4BB83A2}"/>
    <cellStyle name="Normal 8 3" xfId="650" xr:uid="{9384F910-3F54-4676-A157-DBC2675BEFA8}"/>
    <cellStyle name="Normal 9" xfId="407" xr:uid="{D28C6643-FBDE-468B-BA68-638065085EC6}"/>
    <cellStyle name="Normal 9 2" xfId="740" xr:uid="{7A40BFC5-BC5B-4CC8-817F-F7BA7675E696}"/>
    <cellStyle name="Note 10" xfId="319" xr:uid="{2DB605AA-072F-4C51-AC30-252FBF7FB758}"/>
    <cellStyle name="Note 10 2" xfId="655" xr:uid="{BD042E10-ECF6-4E61-9D13-9D82ED971E2C}"/>
    <cellStyle name="Note 11" xfId="527" xr:uid="{C88D15D3-870C-458C-A726-8AD0CA0EC0DD}"/>
    <cellStyle name="Note 2" xfId="279" xr:uid="{FABC3352-BD6A-48F0-AF7F-ED7E918D235A}"/>
    <cellStyle name="Note 2 2" xfId="479" xr:uid="{91E0CF7D-3183-4101-AB0F-40AE7338E4C7}"/>
    <cellStyle name="Note 2 2 2" xfId="812" xr:uid="{EB17B710-9C46-45C1-93D0-638EED7804F1}"/>
    <cellStyle name="Note 2 3" xfId="391" xr:uid="{4C424AC3-2D5C-4B34-A22D-CCB929B6BE30}"/>
    <cellStyle name="Note 2 3 2" xfId="727" xr:uid="{B9A6F8C1-B699-4477-B605-589F45BB7888}"/>
    <cellStyle name="Note 2 4" xfId="611" xr:uid="{D2B090CC-F9E8-4D83-8501-2FF36844D0D7}"/>
    <cellStyle name="Note 3" xfId="280" xr:uid="{877B09FE-868B-46FB-9F07-C546A80ED2F1}"/>
    <cellStyle name="Note 3 2" xfId="480" xr:uid="{2227DA69-ADC8-4254-9914-59D666B111DB}"/>
    <cellStyle name="Note 3 2 2" xfId="813" xr:uid="{9F3BFE2C-B3D3-4CA4-9DDF-5E32860A21D3}"/>
    <cellStyle name="Note 3 3" xfId="392" xr:uid="{DB79C314-2828-4581-B190-5841EC19813A}"/>
    <cellStyle name="Note 3 3 2" xfId="728" xr:uid="{9C0A882A-4CF6-4628-B5B5-99D49A03DBA1}"/>
    <cellStyle name="Note 3 4" xfId="612" xr:uid="{A571AFEF-A1B8-4BF8-A499-364478C472FA}"/>
    <cellStyle name="Note 4" xfId="281" xr:uid="{96462072-76A5-4D52-A6E6-C7BB087E31E7}"/>
    <cellStyle name="Note 4 2" xfId="481" xr:uid="{E2ADA0CA-3418-4058-9839-6E5F946456DD}"/>
    <cellStyle name="Note 4 2 2" xfId="814" xr:uid="{4664F2D8-7A3D-48A9-B4D2-81799CAB8F22}"/>
    <cellStyle name="Note 4 3" xfId="393" xr:uid="{4EF37FDE-892E-4877-B62F-4512AEFFD931}"/>
    <cellStyle name="Note 4 3 2" xfId="729" xr:uid="{941A2E90-5C08-4396-A278-C2C072B7136A}"/>
    <cellStyle name="Note 4 4" xfId="613" xr:uid="{5D0D9754-713D-44C1-B2C5-E4FA09C6DA57}"/>
    <cellStyle name="Note 5" xfId="282" xr:uid="{FA423E5A-0113-49FF-8571-5372AED3AEE6}"/>
    <cellStyle name="Note 5 2" xfId="482" xr:uid="{C5850085-8B0C-40B8-B8AB-5F33C6F50B52}"/>
    <cellStyle name="Note 5 2 2" xfId="815" xr:uid="{A988B48F-0008-485E-9708-732E94720D8B}"/>
    <cellStyle name="Note 5 3" xfId="394" xr:uid="{D6942A42-CC2E-40FE-9864-2C2B85FFB497}"/>
    <cellStyle name="Note 5 3 2" xfId="730" xr:uid="{8F41093A-80F2-48C0-AFB8-32E80F0534B2}"/>
    <cellStyle name="Note 5 4" xfId="614" xr:uid="{2493E2EE-C215-4EE3-865E-B5F3BF64AD84}"/>
    <cellStyle name="Note 6" xfId="283" xr:uid="{DF435043-F5D7-431E-942F-385F75268B42}"/>
    <cellStyle name="Note 6 2" xfId="483" xr:uid="{5D8F2BE4-920D-4CA0-AFC8-678AC1B8C1DA}"/>
    <cellStyle name="Note 6 2 2" xfId="816" xr:uid="{8AF38A8A-3E02-4E75-829D-57C524CD6DAD}"/>
    <cellStyle name="Note 6 3" xfId="395" xr:uid="{3F5348D6-B6C6-4904-ACA2-C062451DE3B6}"/>
    <cellStyle name="Note 6 3 2" xfId="731" xr:uid="{6364D862-0960-4DAB-8874-8423F7640004}"/>
    <cellStyle name="Note 6 4" xfId="615" xr:uid="{E92817EE-DCBF-4E07-8CE9-F72BD22F53B9}"/>
    <cellStyle name="Note 7" xfId="284" xr:uid="{85079D22-0592-46DC-8EF6-56CFA504D7D2}"/>
    <cellStyle name="Note 7 2" xfId="484" xr:uid="{7DE21D50-8911-4B74-8497-5B99576115FB}"/>
    <cellStyle name="Note 7 2 2" xfId="817" xr:uid="{19283500-D98C-45A3-8DF4-C81F2DE1E0AC}"/>
    <cellStyle name="Note 7 3" xfId="396" xr:uid="{1770630C-BD37-444F-98B7-038C5B83780A}"/>
    <cellStyle name="Note 7 3 2" xfId="732" xr:uid="{E16B435C-CABD-4EDA-AFE1-EDD44EF56A33}"/>
    <cellStyle name="Note 7 4" xfId="616" xr:uid="{075DB40E-770C-44F1-A4EA-8F1F336F7591}"/>
    <cellStyle name="Note 8" xfId="285" xr:uid="{0A0FEE7C-4000-472B-8580-8B74F016AD1F}"/>
    <cellStyle name="Note 8 2" xfId="286" xr:uid="{3F25EDB7-E5FA-401D-A6C8-AE82065C11C0}"/>
    <cellStyle name="Note 9" xfId="485" xr:uid="{F199654A-A2FF-44D5-B7D2-85139F70452B}"/>
    <cellStyle name="Note 9 2" xfId="627" xr:uid="{9A10C801-A366-48CE-B5AD-D729FA052129}"/>
    <cellStyle name="Output" xfId="11" builtinId="21" customBuiltin="1"/>
    <cellStyle name="Output 2" xfId="287" xr:uid="{ECED39A5-BC76-4D47-BFE8-247440560E5C}"/>
    <cellStyle name="Output 3" xfId="288" xr:uid="{9A9A9E2C-415D-47D3-8E81-CAC626A0A470}"/>
    <cellStyle name="Output 4" xfId="289" xr:uid="{3F900914-A15F-45FA-847E-BD7792E4090E}"/>
    <cellStyle name="Output 5" xfId="290" xr:uid="{548B98C5-6D2F-468B-AD1C-6B9321344D99}"/>
    <cellStyle name="Output 6" xfId="291" xr:uid="{04981711-975C-47A8-B579-D78C4EBDA78D}"/>
    <cellStyle name="Output 7" xfId="292" xr:uid="{F8DF0420-8C28-49FE-A6FD-1267CC85E2E5}"/>
    <cellStyle name="Output 8" xfId="293" xr:uid="{7A67AFED-1A70-4F96-85FB-F7BE0EFD0268}"/>
    <cellStyle name="Output 9" xfId="495" xr:uid="{5B11598F-7CFD-4A69-9CF2-A843766638D8}"/>
    <cellStyle name="Percent 2" xfId="43" xr:uid="{F431644B-3BC6-4682-BCBF-0FD96FB38D73}"/>
    <cellStyle name="Percent 2 2" xfId="401" xr:uid="{4D217BC5-8F5F-41F7-9C14-BCF06373D252}"/>
    <cellStyle name="Percent 2 2 2" xfId="736" xr:uid="{B3E4BC39-35DE-443C-82D0-89F8E8AD6D24}"/>
    <cellStyle name="Percent 2 3" xfId="645" xr:uid="{9893C3DE-6310-4C3C-9296-F9206881E875}"/>
    <cellStyle name="Percent 3" xfId="402" xr:uid="{640F2E29-CAB5-40E1-BC01-4BC340144EA8}"/>
    <cellStyle name="Percent 4" xfId="651" xr:uid="{5B7774F5-B445-4745-AA88-C170E643B57C}"/>
    <cellStyle name="Percent 5" xfId="44" xr:uid="{60317D8E-36AE-45D3-9939-F9C702963BC2}"/>
    <cellStyle name="Title 2" xfId="294" xr:uid="{67AAD575-AE64-47F1-9B95-406750CB93A7}"/>
    <cellStyle name="Title 3" xfId="295" xr:uid="{5780A5BA-74FE-4F3C-894C-490C7BC0FC6A}"/>
    <cellStyle name="Title 4" xfId="296" xr:uid="{ED441C8C-60A8-4AA0-A16D-9089F930FF17}"/>
    <cellStyle name="Title 5" xfId="297" xr:uid="{82388749-8C0D-4585-99EF-D7B74E239351}"/>
    <cellStyle name="Title 6" xfId="298" xr:uid="{37636AD4-1FE0-4E6F-AA1C-6AFD36D31B33}"/>
    <cellStyle name="Title 7" xfId="299" xr:uid="{06CEE780-C7B1-4F26-A985-BB8FE91F2938}"/>
    <cellStyle name="Title 8" xfId="300" xr:uid="{9B774CE5-D8D5-47B2-A7FA-04754131E441}"/>
    <cellStyle name="Title 9" xfId="310" xr:uid="{81AF4143-84B0-44B3-A7CA-7B53AD4E45C2}"/>
    <cellStyle name="Total" xfId="17" builtinId="25" customBuiltin="1"/>
    <cellStyle name="Total 2" xfId="301" xr:uid="{C85F1F9B-1B77-4031-922B-AB78DDDC103B}"/>
    <cellStyle name="Total 3" xfId="302" xr:uid="{28F916DB-0252-49C5-943B-39DEF402F25D}"/>
    <cellStyle name="Total 4" xfId="303" xr:uid="{E78F9530-43BE-48B0-A02A-BBD988079862}"/>
    <cellStyle name="Total 5" xfId="304" xr:uid="{736281CE-65FA-45FB-86EF-76509F36C163}"/>
    <cellStyle name="Total 6" xfId="305" xr:uid="{742B42DC-BA6E-4EE8-AFE4-5B999D956F52}"/>
    <cellStyle name="Total 7" xfId="306" xr:uid="{D5737CF7-AB07-4EE0-AF80-3C0848223EAB}"/>
    <cellStyle name="Total 8" xfId="307" xr:uid="{FCBAB21B-948B-4002-94AB-258932EE12BA}"/>
    <cellStyle name="Total 9" xfId="501" xr:uid="{1AE765BA-8E75-4E72-A84F-78FD550D2801}"/>
    <cellStyle name="Warning Text" xfId="15" builtinId="11" customBuiltin="1"/>
    <cellStyle name="Warning Text 2" xfId="499" xr:uid="{CF4C9489-CEC1-42C5-B1B2-B086BED71966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E5F4F7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5F4F7"/>
      <color rgb="FFF0F8FA"/>
      <color rgb="FFE5E5FF"/>
      <color rgb="FF9999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971550</xdr:colOff>
      <xdr:row>34</xdr:row>
      <xdr:rowOff>0</xdr:rowOff>
    </xdr:from>
    <xdr:to>
      <xdr:col>12</xdr:col>
      <xdr:colOff>3009900</xdr:colOff>
      <xdr:row>41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537" t="4242" r="4460" b="4837"/>
        <a:stretch/>
      </xdr:blipFill>
      <xdr:spPr>
        <a:xfrm>
          <a:off x="7210425" y="7153275"/>
          <a:ext cx="2038350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59"/>
  <sheetViews>
    <sheetView tabSelected="1" zoomScaleNormal="100" workbookViewId="0">
      <selection activeCell="F8" sqref="F8:H8"/>
    </sheetView>
  </sheetViews>
  <sheetFormatPr defaultColWidth="0" defaultRowHeight="15" zeroHeight="1" x14ac:dyDescent="0.25"/>
  <cols>
    <col min="1" max="1" width="7.5703125" style="79" customWidth="1"/>
    <col min="2" max="2" width="7" style="79" customWidth="1"/>
    <col min="3" max="3" width="9.42578125" style="79" customWidth="1"/>
    <col min="4" max="4" width="18.140625" style="79" customWidth="1"/>
    <col min="5" max="5" width="4" style="79" hidden="1" customWidth="1"/>
    <col min="6" max="6" width="7.7109375" style="79" customWidth="1"/>
    <col min="7" max="7" width="8.85546875" style="79" customWidth="1"/>
    <col min="8" max="8" width="14.42578125" style="79" customWidth="1"/>
    <col min="9" max="9" width="5.7109375" style="79" customWidth="1"/>
    <col min="10" max="10" width="8.85546875" style="126" customWidth="1"/>
    <col min="11" max="11" width="9.140625" style="126" hidden="1" customWidth="1"/>
    <col min="12" max="12" width="1.85546875" style="126" customWidth="1"/>
    <col min="13" max="13" width="66.5703125" style="126" customWidth="1"/>
    <col min="14" max="14" width="8.7109375" style="79" customWidth="1"/>
    <col min="15" max="28" width="9.140625" style="79" hidden="1"/>
    <col min="29" max="29" width="28.7109375" style="79" hidden="1"/>
    <col min="30" max="30" width="9.140625" style="79" hidden="1"/>
    <col min="31" max="31" width="11.85546875" style="79" hidden="1"/>
    <col min="32" max="32" width="9.140625" style="79" hidden="1"/>
    <col min="33" max="33" width="19.85546875" style="79" hidden="1"/>
    <col min="34" max="34" width="9.140625" style="79" hidden="1"/>
    <col min="35" max="35" width="13.140625" style="79" hidden="1"/>
    <col min="36" max="16384" width="9.140625" style="79" hidden="1"/>
  </cols>
  <sheetData>
    <row r="1" spans="1:36" x14ac:dyDescent="0.25">
      <c r="A1" s="74"/>
      <c r="B1" s="77"/>
      <c r="C1" s="77"/>
      <c r="D1" s="77"/>
      <c r="E1" s="77"/>
      <c r="F1" s="77"/>
      <c r="G1" s="77"/>
      <c r="H1" s="77"/>
      <c r="I1" s="77"/>
      <c r="J1" s="74"/>
      <c r="K1" s="74"/>
      <c r="L1" s="75"/>
      <c r="M1" s="74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6" ht="28.5" x14ac:dyDescent="0.25">
      <c r="A2" s="81"/>
      <c r="B2" s="150" t="s">
        <v>701</v>
      </c>
      <c r="C2" s="150"/>
      <c r="D2" s="150"/>
      <c r="E2" s="150"/>
      <c r="F2" s="150"/>
      <c r="G2" s="150"/>
      <c r="H2" s="150"/>
      <c r="I2" s="150"/>
      <c r="J2" s="82"/>
      <c r="K2" s="79"/>
      <c r="L2" s="79"/>
      <c r="M2" s="79"/>
      <c r="P2" s="137" t="s">
        <v>734</v>
      </c>
      <c r="Q2" s="143"/>
      <c r="R2" s="143"/>
      <c r="S2" s="143"/>
      <c r="T2" s="138"/>
      <c r="U2" s="137" t="s">
        <v>735</v>
      </c>
      <c r="V2" s="138"/>
      <c r="W2" s="30"/>
      <c r="X2" s="141" t="s">
        <v>710</v>
      </c>
      <c r="Y2" s="142"/>
      <c r="Z2" s="137" t="s">
        <v>707</v>
      </c>
      <c r="AA2" s="138"/>
      <c r="AB2" s="144" t="s">
        <v>736</v>
      </c>
      <c r="AC2" s="145"/>
      <c r="AD2" s="145"/>
      <c r="AE2" s="145"/>
      <c r="AF2" s="145"/>
      <c r="AG2" s="145"/>
      <c r="AH2" s="146"/>
      <c r="AI2" s="137" t="s">
        <v>761</v>
      </c>
      <c r="AJ2" s="138"/>
    </row>
    <row r="3" spans="1:36" ht="28.5" x14ac:dyDescent="0.45">
      <c r="A3" s="81"/>
      <c r="B3" s="151" t="s">
        <v>702</v>
      </c>
      <c r="C3" s="151"/>
      <c r="D3" s="151"/>
      <c r="E3" s="151"/>
      <c r="F3" s="151"/>
      <c r="G3" s="151"/>
      <c r="H3" s="151"/>
      <c r="I3" s="151"/>
      <c r="J3" s="82"/>
      <c r="K3" s="79"/>
      <c r="L3" s="79"/>
      <c r="M3" s="79"/>
      <c r="P3" s="31" t="s">
        <v>734</v>
      </c>
      <c r="Q3" s="32" t="s">
        <v>705</v>
      </c>
      <c r="R3" s="32" t="s">
        <v>705</v>
      </c>
      <c r="S3" s="32" t="s">
        <v>705</v>
      </c>
      <c r="T3" s="33" t="s">
        <v>705</v>
      </c>
      <c r="U3" s="108"/>
      <c r="V3" s="109"/>
      <c r="W3" s="110"/>
      <c r="X3" s="114"/>
      <c r="Y3" s="115"/>
      <c r="Z3" s="108"/>
      <c r="AA3" s="109"/>
      <c r="AB3" s="111"/>
      <c r="AC3" s="112"/>
      <c r="AD3" s="112"/>
      <c r="AE3" s="112"/>
      <c r="AF3" s="112"/>
      <c r="AG3" s="112"/>
      <c r="AH3" s="113"/>
      <c r="AI3" s="108"/>
      <c r="AJ3" s="109"/>
    </row>
    <row r="4" spans="1:36" ht="28.5" x14ac:dyDescent="0.45">
      <c r="A4" s="81"/>
      <c r="B4" s="151" t="s">
        <v>895</v>
      </c>
      <c r="C4" s="151"/>
      <c r="D4" s="151"/>
      <c r="E4" s="151"/>
      <c r="F4" s="151"/>
      <c r="G4" s="151"/>
      <c r="H4" s="151"/>
      <c r="I4" s="151"/>
      <c r="J4" s="82"/>
      <c r="K4" s="79"/>
      <c r="L4" s="79"/>
      <c r="M4" s="79"/>
      <c r="P4" s="31" t="s">
        <v>734</v>
      </c>
      <c r="Q4" s="32" t="s">
        <v>705</v>
      </c>
      <c r="R4" s="32" t="s">
        <v>705</v>
      </c>
      <c r="S4" s="32" t="s">
        <v>705</v>
      </c>
      <c r="T4" s="33" t="s">
        <v>705</v>
      </c>
      <c r="U4" s="139" t="s">
        <v>735</v>
      </c>
      <c r="V4" s="140" t="s">
        <v>737</v>
      </c>
      <c r="W4" s="148" t="s">
        <v>739</v>
      </c>
      <c r="X4" s="139" t="s">
        <v>750</v>
      </c>
      <c r="Y4" s="140" t="s">
        <v>751</v>
      </c>
      <c r="Z4" s="139" t="s">
        <v>707</v>
      </c>
      <c r="AA4" s="140" t="s">
        <v>738</v>
      </c>
      <c r="AB4" s="139" t="s">
        <v>736</v>
      </c>
      <c r="AC4" s="147" t="s">
        <v>740</v>
      </c>
      <c r="AD4" s="147" t="s">
        <v>741</v>
      </c>
      <c r="AE4" s="147" t="s">
        <v>742</v>
      </c>
      <c r="AF4" s="147" t="s">
        <v>743</v>
      </c>
      <c r="AG4" s="147" t="s">
        <v>744</v>
      </c>
      <c r="AH4" s="140" t="s">
        <v>745</v>
      </c>
      <c r="AI4" s="139" t="s">
        <v>873</v>
      </c>
      <c r="AJ4" s="140" t="s">
        <v>738</v>
      </c>
    </row>
    <row r="5" spans="1:36" x14ac:dyDescent="0.25">
      <c r="B5" s="84"/>
      <c r="C5" s="84"/>
      <c r="D5" s="84"/>
      <c r="E5" s="84"/>
      <c r="F5" s="84"/>
      <c r="G5" s="84"/>
      <c r="H5" s="84"/>
      <c r="I5" s="84"/>
      <c r="J5" s="79"/>
      <c r="K5" s="79"/>
      <c r="L5" s="91"/>
      <c r="M5" s="91"/>
      <c r="P5" s="34" t="s">
        <v>694</v>
      </c>
      <c r="Q5" s="32" t="s">
        <v>746</v>
      </c>
      <c r="R5" s="32" t="s">
        <v>694</v>
      </c>
      <c r="S5" s="32" t="s">
        <v>752</v>
      </c>
      <c r="T5" s="33" t="s">
        <v>687</v>
      </c>
      <c r="U5" s="139"/>
      <c r="V5" s="140"/>
      <c r="W5" s="148"/>
      <c r="X5" s="139"/>
      <c r="Y5" s="140"/>
      <c r="Z5" s="139"/>
      <c r="AA5" s="140"/>
      <c r="AB5" s="139"/>
      <c r="AC5" s="147"/>
      <c r="AD5" s="147"/>
      <c r="AE5" s="147"/>
      <c r="AF5" s="147"/>
      <c r="AG5" s="147"/>
      <c r="AH5" s="140"/>
      <c r="AI5" s="139"/>
      <c r="AJ5" s="140"/>
    </row>
    <row r="6" spans="1:36" ht="21" x14ac:dyDescent="0.35">
      <c r="A6" s="81"/>
      <c r="B6" s="152" t="s">
        <v>703</v>
      </c>
      <c r="C6" s="152"/>
      <c r="D6" s="152"/>
      <c r="E6" s="152"/>
      <c r="F6" s="152"/>
      <c r="G6" s="152"/>
      <c r="H6" s="152"/>
      <c r="I6" s="152"/>
      <c r="J6" s="82"/>
      <c r="K6" s="89" t="s">
        <v>855</v>
      </c>
      <c r="L6" s="92"/>
      <c r="M6" s="93" t="s">
        <v>721</v>
      </c>
      <c r="N6" s="82"/>
      <c r="P6" s="34" t="s">
        <v>746</v>
      </c>
      <c r="Q6" s="35" t="s">
        <v>753</v>
      </c>
      <c r="R6" s="35" t="s">
        <v>754</v>
      </c>
      <c r="S6" s="35" t="s">
        <v>755</v>
      </c>
      <c r="T6" s="36" t="s">
        <v>687</v>
      </c>
      <c r="U6" s="34" t="s">
        <v>756</v>
      </c>
      <c r="V6" s="36">
        <v>1</v>
      </c>
      <c r="W6" s="37" t="s">
        <v>421</v>
      </c>
      <c r="X6" s="34" t="s">
        <v>761</v>
      </c>
      <c r="Y6" s="36" t="s">
        <v>762</v>
      </c>
      <c r="Z6" s="34" t="s">
        <v>757</v>
      </c>
      <c r="AA6" s="135">
        <v>1</v>
      </c>
      <c r="AB6" s="34" t="s">
        <v>750</v>
      </c>
      <c r="AC6" s="35" t="s">
        <v>758</v>
      </c>
      <c r="AD6" s="133">
        <v>0.4</v>
      </c>
      <c r="AE6" s="35" t="s">
        <v>759</v>
      </c>
      <c r="AF6" s="133">
        <v>0.5</v>
      </c>
      <c r="AG6" s="35" t="s">
        <v>760</v>
      </c>
      <c r="AH6" s="135">
        <v>1.1100000000000001</v>
      </c>
      <c r="AI6" s="34" t="s">
        <v>687</v>
      </c>
      <c r="AJ6" s="36">
        <v>0.34</v>
      </c>
    </row>
    <row r="7" spans="1:36" x14ac:dyDescent="0.25">
      <c r="A7" s="81"/>
      <c r="B7" s="85"/>
      <c r="C7" s="85"/>
      <c r="D7" s="85"/>
      <c r="E7" s="85"/>
      <c r="F7" s="85"/>
      <c r="G7" s="85"/>
      <c r="H7" s="85"/>
      <c r="I7" s="85"/>
      <c r="J7" s="82"/>
      <c r="K7" s="89" t="s">
        <v>856</v>
      </c>
      <c r="L7" s="94">
        <v>1</v>
      </c>
      <c r="M7" s="95" t="s">
        <v>722</v>
      </c>
      <c r="N7" s="82"/>
      <c r="P7" s="34" t="s">
        <v>752</v>
      </c>
      <c r="Q7" s="35" t="s">
        <v>763</v>
      </c>
      <c r="R7" s="35" t="s">
        <v>764</v>
      </c>
      <c r="S7" s="35" t="s">
        <v>765</v>
      </c>
      <c r="T7" s="36"/>
      <c r="U7" s="34" t="s">
        <v>766</v>
      </c>
      <c r="V7" s="36">
        <v>2</v>
      </c>
      <c r="W7" s="37" t="s">
        <v>418</v>
      </c>
      <c r="X7" s="34" t="s">
        <v>771</v>
      </c>
      <c r="Y7" s="36"/>
      <c r="Z7" s="34" t="s">
        <v>767</v>
      </c>
      <c r="AA7" s="135">
        <v>0.95</v>
      </c>
      <c r="AB7" s="34" t="s">
        <v>768</v>
      </c>
      <c r="AC7" s="35" t="s">
        <v>769</v>
      </c>
      <c r="AD7" s="133">
        <v>0.4</v>
      </c>
      <c r="AE7" s="35" t="s">
        <v>770</v>
      </c>
      <c r="AF7" s="133">
        <v>0.66</v>
      </c>
      <c r="AG7" s="35" t="s">
        <v>866</v>
      </c>
      <c r="AH7" s="135">
        <v>0.87</v>
      </c>
      <c r="AI7" s="117" t="s">
        <v>874</v>
      </c>
      <c r="AJ7" s="118">
        <v>12.736000000000001</v>
      </c>
    </row>
    <row r="8" spans="1:36" x14ac:dyDescent="0.25">
      <c r="A8" s="81"/>
      <c r="B8" s="85"/>
      <c r="C8" s="86" t="s">
        <v>704</v>
      </c>
      <c r="D8" s="86"/>
      <c r="E8" s="86"/>
      <c r="F8" s="149"/>
      <c r="G8" s="149"/>
      <c r="H8" s="149"/>
      <c r="I8" s="85"/>
      <c r="J8" s="82"/>
      <c r="K8" s="81"/>
      <c r="L8" s="94"/>
      <c r="M8" s="96" t="s">
        <v>723</v>
      </c>
      <c r="N8" s="82"/>
      <c r="P8" s="34" t="s">
        <v>687</v>
      </c>
      <c r="Q8" s="35" t="s">
        <v>772</v>
      </c>
      <c r="R8" s="35" t="s">
        <v>786</v>
      </c>
      <c r="S8" s="35" t="s">
        <v>773</v>
      </c>
      <c r="T8" s="36"/>
      <c r="U8" s="34"/>
      <c r="V8" s="36">
        <v>3</v>
      </c>
      <c r="W8" s="37"/>
      <c r="X8" s="34"/>
      <c r="Y8" s="36"/>
      <c r="Z8" s="34" t="s">
        <v>774</v>
      </c>
      <c r="AA8" s="135">
        <v>1.5</v>
      </c>
      <c r="AB8" s="34" t="s">
        <v>751</v>
      </c>
      <c r="AC8" s="35" t="s">
        <v>775</v>
      </c>
      <c r="AD8" s="133">
        <v>0.54</v>
      </c>
      <c r="AE8" s="35" t="s">
        <v>776</v>
      </c>
      <c r="AF8" s="133">
        <v>0.66</v>
      </c>
      <c r="AG8" s="35" t="s">
        <v>777</v>
      </c>
      <c r="AH8" s="135">
        <v>1.24</v>
      </c>
      <c r="AI8" s="117" t="s">
        <v>875</v>
      </c>
      <c r="AJ8" s="118">
        <v>0.32200000000000001</v>
      </c>
    </row>
    <row r="9" spans="1:36" x14ac:dyDescent="0.25">
      <c r="A9" s="81"/>
      <c r="B9" s="85"/>
      <c r="C9" s="86" t="s">
        <v>705</v>
      </c>
      <c r="D9" s="86"/>
      <c r="E9" s="86"/>
      <c r="F9" s="149"/>
      <c r="G9" s="149"/>
      <c r="H9" s="149"/>
      <c r="I9" s="85"/>
      <c r="J9" s="82"/>
      <c r="K9" s="81"/>
      <c r="L9" s="94"/>
      <c r="M9" s="97" t="s">
        <v>724</v>
      </c>
      <c r="N9" s="82"/>
      <c r="P9" s="34"/>
      <c r="Q9" s="35" t="s">
        <v>778</v>
      </c>
      <c r="R9" s="35"/>
      <c r="S9" s="35" t="s">
        <v>887</v>
      </c>
      <c r="T9" s="36"/>
      <c r="U9" s="34"/>
      <c r="V9" s="36">
        <v>4</v>
      </c>
      <c r="W9" s="37"/>
      <c r="X9" s="34"/>
      <c r="Y9" s="36"/>
      <c r="Z9" s="34" t="s">
        <v>779</v>
      </c>
      <c r="AA9" s="135">
        <v>0.9</v>
      </c>
      <c r="AB9" s="34"/>
      <c r="AC9" s="35" t="s">
        <v>780</v>
      </c>
      <c r="AD9" s="133">
        <v>0.4</v>
      </c>
      <c r="AE9" s="35" t="s">
        <v>781</v>
      </c>
      <c r="AF9" s="133">
        <v>0.36</v>
      </c>
      <c r="AG9" s="35" t="s">
        <v>782</v>
      </c>
      <c r="AH9" s="135">
        <v>1.78</v>
      </c>
      <c r="AI9" s="34" t="s">
        <v>876</v>
      </c>
      <c r="AJ9" s="36">
        <v>0.67200000000000004</v>
      </c>
    </row>
    <row r="10" spans="1:36" x14ac:dyDescent="0.25">
      <c r="A10" s="81"/>
      <c r="B10" s="85"/>
      <c r="C10" s="86" t="s">
        <v>888</v>
      </c>
      <c r="D10" s="86"/>
      <c r="E10" s="86"/>
      <c r="F10" s="149"/>
      <c r="G10" s="149"/>
      <c r="H10" s="149"/>
      <c r="I10" s="85"/>
      <c r="J10" s="82"/>
      <c r="K10" s="81"/>
      <c r="L10" s="94"/>
      <c r="M10" s="97" t="s">
        <v>725</v>
      </c>
      <c r="N10" s="82"/>
      <c r="P10" s="34"/>
      <c r="Q10" s="35" t="s">
        <v>785</v>
      </c>
      <c r="R10" s="35"/>
      <c r="T10" s="36"/>
      <c r="U10" s="34"/>
      <c r="V10" s="36"/>
      <c r="W10" s="37"/>
      <c r="X10" s="34"/>
      <c r="Y10" s="36"/>
      <c r="Z10" s="34" t="s">
        <v>787</v>
      </c>
      <c r="AA10" s="135">
        <v>0.1</v>
      </c>
      <c r="AB10" s="34"/>
      <c r="AC10" s="35" t="s">
        <v>788</v>
      </c>
      <c r="AD10" s="133">
        <v>0.36</v>
      </c>
      <c r="AE10" s="35" t="s">
        <v>789</v>
      </c>
      <c r="AF10" s="133">
        <v>0.52</v>
      </c>
      <c r="AG10" s="35" t="s">
        <v>790</v>
      </c>
      <c r="AH10" s="135">
        <v>0.87</v>
      </c>
      <c r="AI10" s="34" t="s">
        <v>877</v>
      </c>
      <c r="AJ10" s="36">
        <v>0.32200000000000001</v>
      </c>
    </row>
    <row r="11" spans="1:36" x14ac:dyDescent="0.25">
      <c r="A11" s="81"/>
      <c r="B11" s="85"/>
      <c r="C11" s="86" t="str">
        <f>IF(F10="Yes","Approved Level","")</f>
        <v/>
      </c>
      <c r="D11" s="86"/>
      <c r="E11" s="86"/>
      <c r="F11" s="149"/>
      <c r="G11" s="149"/>
      <c r="H11" s="149"/>
      <c r="I11" s="85"/>
      <c r="J11" s="82"/>
      <c r="K11" s="81"/>
      <c r="L11" s="94"/>
      <c r="M11" s="97" t="s">
        <v>726</v>
      </c>
      <c r="N11" s="82"/>
      <c r="P11" s="34"/>
      <c r="Q11" s="35" t="s">
        <v>792</v>
      </c>
      <c r="R11" s="35"/>
      <c r="S11" s="35"/>
      <c r="T11" s="36"/>
      <c r="U11" s="34"/>
      <c r="V11" s="36"/>
      <c r="W11" s="37"/>
      <c r="X11" s="34"/>
      <c r="Y11" s="36"/>
      <c r="Z11" s="34" t="s">
        <v>793</v>
      </c>
      <c r="AA11" s="135">
        <v>1.75</v>
      </c>
      <c r="AB11" s="34"/>
      <c r="AC11" s="35" t="s">
        <v>794</v>
      </c>
      <c r="AD11" s="133">
        <v>0.46</v>
      </c>
      <c r="AE11" s="35" t="s">
        <v>795</v>
      </c>
      <c r="AF11" s="133">
        <v>0.59</v>
      </c>
      <c r="AG11" s="35" t="s">
        <v>796</v>
      </c>
      <c r="AH11" s="135">
        <v>0.8</v>
      </c>
      <c r="AI11" s="34"/>
      <c r="AJ11" s="36"/>
    </row>
    <row r="12" spans="1:36" x14ac:dyDescent="0.25">
      <c r="A12" s="81"/>
      <c r="B12" s="85"/>
      <c r="C12" s="86"/>
      <c r="D12" s="86"/>
      <c r="E12" s="86"/>
      <c r="F12" s="87"/>
      <c r="G12" s="87"/>
      <c r="H12" s="87"/>
      <c r="I12" s="85"/>
      <c r="J12" s="82"/>
      <c r="K12" s="81"/>
      <c r="L12" s="94">
        <v>2</v>
      </c>
      <c r="M12" s="95" t="s">
        <v>879</v>
      </c>
      <c r="N12" s="82"/>
      <c r="P12" s="34"/>
      <c r="Q12" s="35" t="s">
        <v>797</v>
      </c>
      <c r="R12" s="35"/>
      <c r="S12" s="35"/>
      <c r="T12" s="36"/>
      <c r="U12" s="34"/>
      <c r="V12" s="36"/>
      <c r="W12" s="37"/>
      <c r="X12" s="34"/>
      <c r="Y12" s="36"/>
      <c r="Z12" s="34" t="s">
        <v>798</v>
      </c>
      <c r="AA12" s="135">
        <v>1.25</v>
      </c>
      <c r="AB12" s="34"/>
      <c r="AC12" s="35" t="s">
        <v>867</v>
      </c>
      <c r="AD12" s="133">
        <v>0.36</v>
      </c>
      <c r="AE12" s="35" t="s">
        <v>799</v>
      </c>
      <c r="AF12" s="133">
        <v>0.86</v>
      </c>
      <c r="AG12" s="35" t="s">
        <v>800</v>
      </c>
      <c r="AH12" s="135">
        <v>2.09</v>
      </c>
      <c r="AI12" s="34"/>
      <c r="AJ12" s="36"/>
    </row>
    <row r="13" spans="1:36" x14ac:dyDescent="0.25">
      <c r="A13" s="81"/>
      <c r="B13" s="85"/>
      <c r="C13" s="86" t="s">
        <v>706</v>
      </c>
      <c r="D13" s="86"/>
      <c r="E13" s="86"/>
      <c r="F13" s="156"/>
      <c r="G13" s="156"/>
      <c r="H13" s="156"/>
      <c r="I13" s="85"/>
      <c r="J13" s="82"/>
      <c r="K13" s="90">
        <f>IFERROR(F13,0)</f>
        <v>0</v>
      </c>
      <c r="L13" s="94"/>
      <c r="M13" s="97" t="s">
        <v>872</v>
      </c>
      <c r="N13" s="82"/>
      <c r="P13" s="34"/>
      <c r="Q13" s="35" t="s">
        <v>801</v>
      </c>
      <c r="R13" s="35"/>
      <c r="S13" s="35"/>
      <c r="T13" s="36"/>
      <c r="U13" s="34"/>
      <c r="V13" s="36"/>
      <c r="W13" s="37"/>
      <c r="X13" s="34"/>
      <c r="Y13" s="36"/>
      <c r="Z13" s="34"/>
      <c r="AA13" s="36"/>
      <c r="AB13" s="34"/>
      <c r="AC13" s="35" t="s">
        <v>802</v>
      </c>
      <c r="AD13" s="133">
        <v>0.5</v>
      </c>
      <c r="AE13" s="35" t="s">
        <v>803</v>
      </c>
      <c r="AF13" s="133">
        <v>0.78</v>
      </c>
      <c r="AG13" s="35" t="s">
        <v>804</v>
      </c>
      <c r="AH13" s="135">
        <v>2.09</v>
      </c>
      <c r="AI13" s="34"/>
      <c r="AJ13" s="36"/>
    </row>
    <row r="14" spans="1:36" x14ac:dyDescent="0.25">
      <c r="A14" s="81"/>
      <c r="B14" s="85"/>
      <c r="C14" s="86" t="s">
        <v>707</v>
      </c>
      <c r="D14" s="86"/>
      <c r="E14" s="86"/>
      <c r="F14" s="149"/>
      <c r="G14" s="149"/>
      <c r="H14" s="149"/>
      <c r="I14" s="85"/>
      <c r="J14" s="82"/>
      <c r="K14" s="90">
        <f>IFERROR(VLOOKUP(F14,'Trial Pricing Calculator '!Z:AA,2,0),1)</f>
        <v>1</v>
      </c>
      <c r="L14" s="94">
        <v>3</v>
      </c>
      <c r="M14" s="95" t="s">
        <v>727</v>
      </c>
      <c r="N14" s="82"/>
      <c r="P14" s="34"/>
      <c r="Q14" s="35"/>
      <c r="R14" s="35"/>
      <c r="S14" s="35"/>
      <c r="T14" s="36"/>
      <c r="U14" s="34"/>
      <c r="V14" s="36"/>
      <c r="W14" s="37"/>
      <c r="X14" s="34"/>
      <c r="Y14" s="36"/>
      <c r="Z14" s="34"/>
      <c r="AA14" s="36"/>
      <c r="AB14" s="34"/>
      <c r="AC14" s="35" t="s">
        <v>805</v>
      </c>
      <c r="AD14" s="133">
        <v>0.5</v>
      </c>
      <c r="AE14" s="35" t="s">
        <v>806</v>
      </c>
      <c r="AF14" s="133">
        <v>0.28000000000000003</v>
      </c>
      <c r="AG14" s="35" t="s">
        <v>807</v>
      </c>
      <c r="AH14" s="135">
        <v>1.28</v>
      </c>
      <c r="AI14" s="34"/>
      <c r="AJ14" s="36"/>
    </row>
    <row r="15" spans="1:36" x14ac:dyDescent="0.25">
      <c r="A15" s="81"/>
      <c r="B15" s="85"/>
      <c r="C15" s="86" t="s">
        <v>708</v>
      </c>
      <c r="D15" s="86"/>
      <c r="E15" s="86"/>
      <c r="F15" s="157"/>
      <c r="G15" s="157"/>
      <c r="H15" s="157"/>
      <c r="I15" s="85"/>
      <c r="J15" s="82"/>
      <c r="K15" s="90">
        <f>F15*100</f>
        <v>0</v>
      </c>
      <c r="L15" s="94"/>
      <c r="M15" s="97" t="s">
        <v>728</v>
      </c>
      <c r="N15" s="82"/>
      <c r="P15" s="34"/>
      <c r="Q15" s="35"/>
      <c r="R15" s="35"/>
      <c r="S15" s="35"/>
      <c r="T15" s="36"/>
      <c r="U15" s="34"/>
      <c r="V15" s="36"/>
      <c r="W15" s="37"/>
      <c r="X15" s="34"/>
      <c r="Y15" s="36"/>
      <c r="Z15" s="34"/>
      <c r="AA15" s="36"/>
      <c r="AB15" s="34"/>
      <c r="AC15" s="35" t="s">
        <v>808</v>
      </c>
      <c r="AD15" s="133">
        <v>0.69</v>
      </c>
      <c r="AE15" s="35" t="s">
        <v>809</v>
      </c>
      <c r="AF15" s="133">
        <v>0.25</v>
      </c>
      <c r="AG15" s="35" t="s">
        <v>810</v>
      </c>
      <c r="AH15" s="135">
        <v>0.71</v>
      </c>
      <c r="AI15" s="34"/>
      <c r="AJ15" s="36"/>
    </row>
    <row r="16" spans="1:36" x14ac:dyDescent="0.25">
      <c r="A16" s="81"/>
      <c r="B16" s="85"/>
      <c r="C16" s="86" t="s">
        <v>1</v>
      </c>
      <c r="D16" s="86"/>
      <c r="E16" s="86"/>
      <c r="F16" s="149"/>
      <c r="G16" s="149"/>
      <c r="H16" s="149"/>
      <c r="I16" s="85"/>
      <c r="J16" s="82"/>
      <c r="K16" s="80">
        <f>IF(F16=0,0,F16)</f>
        <v>0</v>
      </c>
      <c r="L16" s="94"/>
      <c r="M16" s="95" t="s">
        <v>861</v>
      </c>
      <c r="P16" s="34"/>
      <c r="Q16" s="35"/>
      <c r="R16" s="35"/>
      <c r="S16" s="35"/>
      <c r="T16" s="36"/>
      <c r="U16" s="34"/>
      <c r="V16" s="36"/>
      <c r="W16" s="37"/>
      <c r="X16" s="34"/>
      <c r="Y16" s="36"/>
      <c r="Z16" s="34"/>
      <c r="AA16" s="36"/>
      <c r="AB16" s="34"/>
      <c r="AC16" s="35" t="s">
        <v>868</v>
      </c>
      <c r="AD16" s="133">
        <v>0.18</v>
      </c>
      <c r="AE16" s="35" t="s">
        <v>812</v>
      </c>
      <c r="AF16" s="133">
        <v>1.42</v>
      </c>
      <c r="AG16" s="35" t="s">
        <v>813</v>
      </c>
      <c r="AH16" s="135">
        <v>1.08</v>
      </c>
      <c r="AI16" s="34"/>
      <c r="AJ16" s="36"/>
    </row>
    <row r="17" spans="1:36" x14ac:dyDescent="0.25">
      <c r="A17" s="81"/>
      <c r="B17" s="85"/>
      <c r="C17" s="86" t="s">
        <v>870</v>
      </c>
      <c r="D17" s="86"/>
      <c r="E17" s="86"/>
      <c r="F17" s="159"/>
      <c r="G17" s="159"/>
      <c r="H17" s="159"/>
      <c r="I17" s="85"/>
      <c r="J17" s="82"/>
      <c r="K17" s="80">
        <f>IF(G18="",F17,SUM(F17*G18))</f>
        <v>0</v>
      </c>
      <c r="L17" s="94"/>
      <c r="M17" s="106" t="s">
        <v>862</v>
      </c>
      <c r="P17" s="34"/>
      <c r="Q17" s="35"/>
      <c r="R17" s="35"/>
      <c r="S17" s="35"/>
      <c r="T17" s="36"/>
      <c r="U17" s="34"/>
      <c r="V17" s="36"/>
      <c r="W17" s="37"/>
      <c r="X17" s="34"/>
      <c r="Y17" s="36"/>
      <c r="Z17" s="34"/>
      <c r="AA17" s="36"/>
      <c r="AB17" s="34"/>
      <c r="AC17" s="35" t="s">
        <v>814</v>
      </c>
      <c r="AD17" s="133">
        <v>0.18</v>
      </c>
      <c r="AE17" s="35" t="s">
        <v>815</v>
      </c>
      <c r="AF17" s="133">
        <v>0.93</v>
      </c>
      <c r="AG17" s="35" t="s">
        <v>816</v>
      </c>
      <c r="AH17" s="135">
        <v>1.64</v>
      </c>
      <c r="AI17" s="34"/>
      <c r="AJ17" s="36"/>
    </row>
    <row r="18" spans="1:36" x14ac:dyDescent="0.25">
      <c r="A18" s="81"/>
      <c r="B18" s="85"/>
      <c r="C18" s="101" t="str">
        <f>IF(OR(F8="Beer",F8="Refreshment Beverage",G18&lt;&gt;""),"     # of Containers per Selling Unit","")</f>
        <v/>
      </c>
      <c r="D18" s="86"/>
      <c r="E18" s="86"/>
      <c r="F18" s="102"/>
      <c r="G18" s="160"/>
      <c r="H18" s="161"/>
      <c r="I18" s="85"/>
      <c r="J18" s="82"/>
      <c r="K18" s="90">
        <f>K17*1000</f>
        <v>0</v>
      </c>
      <c r="L18" s="94"/>
      <c r="M18" s="106" t="s">
        <v>863</v>
      </c>
      <c r="N18" s="82"/>
      <c r="P18" s="34"/>
      <c r="Q18" s="35"/>
      <c r="R18" s="35"/>
      <c r="S18" s="35"/>
      <c r="T18" s="36"/>
      <c r="U18" s="34"/>
      <c r="V18" s="36"/>
      <c r="W18" s="37"/>
      <c r="X18" s="34"/>
      <c r="Y18" s="36"/>
      <c r="Z18" s="34"/>
      <c r="AA18" s="36"/>
      <c r="AB18" s="34"/>
      <c r="AC18" s="35" t="s">
        <v>817</v>
      </c>
      <c r="AD18" s="133">
        <v>0.3</v>
      </c>
      <c r="AE18" s="35" t="s">
        <v>818</v>
      </c>
      <c r="AF18" s="133">
        <v>0.52</v>
      </c>
      <c r="AG18" s="35" t="s">
        <v>819</v>
      </c>
      <c r="AH18" s="135">
        <v>2.4500000000000002</v>
      </c>
      <c r="AI18" s="34"/>
      <c r="AJ18" s="36"/>
    </row>
    <row r="19" spans="1:36" x14ac:dyDescent="0.25">
      <c r="A19" s="81"/>
      <c r="B19" s="85"/>
      <c r="C19" s="101" t="str">
        <f>IF(F8="Beer","     Container Type","")</f>
        <v/>
      </c>
      <c r="D19" s="86"/>
      <c r="E19" s="86"/>
      <c r="F19" s="158"/>
      <c r="G19" s="158"/>
      <c r="H19" s="158"/>
      <c r="I19" s="85"/>
      <c r="J19" s="82"/>
      <c r="K19" s="81">
        <f>IFERROR(IF(OR(G18="",G18=0),1,IF(G18&lt;&gt;1,G18)),1)</f>
        <v>1</v>
      </c>
      <c r="L19" s="79"/>
      <c r="M19" s="79"/>
      <c r="N19" s="82"/>
      <c r="P19" s="34"/>
      <c r="Q19" s="35"/>
      <c r="R19" s="35"/>
      <c r="S19" s="35"/>
      <c r="T19" s="36"/>
      <c r="U19" s="34"/>
      <c r="V19" s="36"/>
      <c r="W19" s="37"/>
      <c r="X19" s="34"/>
      <c r="Y19" s="36"/>
      <c r="Z19" s="34"/>
      <c r="AA19" s="36"/>
      <c r="AB19" s="34"/>
      <c r="AC19" s="35" t="s">
        <v>820</v>
      </c>
      <c r="AD19" s="133">
        <v>1.43</v>
      </c>
      <c r="AE19" s="35" t="s">
        <v>821</v>
      </c>
      <c r="AF19" s="133">
        <v>0.63</v>
      </c>
      <c r="AG19" s="35" t="s">
        <v>822</v>
      </c>
      <c r="AH19" s="135">
        <v>0.98</v>
      </c>
      <c r="AI19" s="34"/>
      <c r="AJ19" s="36"/>
    </row>
    <row r="20" spans="1:36" ht="15.75" x14ac:dyDescent="0.25">
      <c r="A20" s="81"/>
      <c r="B20" s="85"/>
      <c r="C20" s="86" t="s">
        <v>709</v>
      </c>
      <c r="D20" s="86"/>
      <c r="E20" s="86"/>
      <c r="F20" s="149"/>
      <c r="G20" s="149"/>
      <c r="H20" s="149"/>
      <c r="I20" s="85"/>
      <c r="J20" s="82"/>
      <c r="K20" s="81"/>
      <c r="L20" s="92"/>
      <c r="M20" s="93" t="s">
        <v>882</v>
      </c>
      <c r="N20" s="82"/>
      <c r="P20" s="34"/>
      <c r="Q20" s="35"/>
      <c r="R20" s="35"/>
      <c r="S20" s="35"/>
      <c r="T20" s="36"/>
      <c r="U20" s="34"/>
      <c r="V20" s="36"/>
      <c r="W20" s="37"/>
      <c r="X20" s="34"/>
      <c r="Y20" s="36"/>
      <c r="Z20" s="34"/>
      <c r="AA20" s="36"/>
      <c r="AB20" s="34"/>
      <c r="AC20" s="35" t="s">
        <v>823</v>
      </c>
      <c r="AD20" s="133">
        <v>0.38</v>
      </c>
      <c r="AE20" s="35" t="s">
        <v>824</v>
      </c>
      <c r="AF20" s="133">
        <v>0.35</v>
      </c>
      <c r="AG20" s="35" t="s">
        <v>825</v>
      </c>
      <c r="AH20" s="135">
        <v>1.06</v>
      </c>
      <c r="AI20" s="34"/>
      <c r="AJ20" s="36"/>
    </row>
    <row r="21" spans="1:36" x14ac:dyDescent="0.25">
      <c r="A21" s="81"/>
      <c r="B21" s="85"/>
      <c r="C21" s="86" t="s">
        <v>858</v>
      </c>
      <c r="D21" s="86"/>
      <c r="E21" s="86"/>
      <c r="F21" s="149"/>
      <c r="G21" s="149"/>
      <c r="H21" s="149"/>
      <c r="I21" s="85"/>
      <c r="J21" s="82"/>
      <c r="K21" s="98">
        <f>IF(F20="Canada",VLOOKUP(F21,'Trial Pricing Calculator '!AC:AD,2,0),IF(F20="USA",VLOOKUP(F21,'Trial Pricing Calculator '!AE:AF,2,0),IF(F20="International",VLOOKUP(F21,'Trial Pricing Calculator '!AG:AH,2,0),0)))</f>
        <v>0</v>
      </c>
      <c r="L21" s="99"/>
      <c r="M21" s="125" t="s">
        <v>884</v>
      </c>
      <c r="N21" s="82"/>
      <c r="P21" s="34"/>
      <c r="Q21" s="35"/>
      <c r="R21" s="35"/>
      <c r="S21" s="35"/>
      <c r="T21" s="36"/>
      <c r="U21" s="34"/>
      <c r="V21" s="36"/>
      <c r="W21" s="37"/>
      <c r="X21" s="34"/>
      <c r="Y21" s="36"/>
      <c r="Z21" s="34"/>
      <c r="AA21" s="36"/>
      <c r="AB21" s="34"/>
      <c r="AC21" s="35" t="s">
        <v>826</v>
      </c>
      <c r="AD21" s="133">
        <v>0.35</v>
      </c>
      <c r="AE21" s="35" t="s">
        <v>827</v>
      </c>
      <c r="AF21" s="133">
        <v>0.68</v>
      </c>
      <c r="AG21" s="35" t="s">
        <v>828</v>
      </c>
      <c r="AH21" s="135">
        <v>1.01</v>
      </c>
      <c r="AI21" s="34"/>
      <c r="AJ21" s="36"/>
    </row>
    <row r="22" spans="1:36" x14ac:dyDescent="0.25">
      <c r="A22" s="81"/>
      <c r="B22" s="85"/>
      <c r="C22" s="86" t="s">
        <v>710</v>
      </c>
      <c r="D22" s="88">
        <v>1</v>
      </c>
      <c r="E22" s="86"/>
      <c r="F22" s="159"/>
      <c r="G22" s="159"/>
      <c r="H22" s="159"/>
      <c r="I22" s="85"/>
      <c r="J22" s="82"/>
      <c r="K22" s="81"/>
      <c r="L22" s="99"/>
      <c r="M22" s="125" t="s">
        <v>883</v>
      </c>
      <c r="N22" s="82"/>
      <c r="P22" s="34"/>
      <c r="Q22" s="35"/>
      <c r="R22" s="35"/>
      <c r="S22" s="35"/>
      <c r="T22" s="36"/>
      <c r="U22" s="34"/>
      <c r="V22" s="36"/>
      <c r="W22" s="37"/>
      <c r="X22" s="34"/>
      <c r="Y22" s="36"/>
      <c r="Z22" s="34"/>
      <c r="AA22" s="36"/>
      <c r="AB22" s="34"/>
      <c r="AC22" s="35" t="s">
        <v>829</v>
      </c>
      <c r="AD22" s="133">
        <v>0.35</v>
      </c>
      <c r="AE22" s="35" t="s">
        <v>830</v>
      </c>
      <c r="AF22" s="133">
        <v>1.75</v>
      </c>
      <c r="AG22" s="35" t="s">
        <v>831</v>
      </c>
      <c r="AH22" s="135">
        <v>1.01</v>
      </c>
      <c r="AI22" s="34"/>
      <c r="AJ22" s="36"/>
    </row>
    <row r="23" spans="1:36" ht="15" customHeight="1" x14ac:dyDescent="0.25">
      <c r="A23" s="81"/>
      <c r="B23" s="85"/>
      <c r="C23" s="116" t="s">
        <v>878</v>
      </c>
      <c r="D23" s="116"/>
      <c r="E23" s="88">
        <v>2</v>
      </c>
      <c r="F23" s="102"/>
      <c r="G23" s="160"/>
      <c r="H23" s="161"/>
      <c r="I23" s="85"/>
      <c r="J23" s="82"/>
      <c r="K23" s="81"/>
      <c r="L23" s="99"/>
      <c r="M23" s="125" t="s">
        <v>885</v>
      </c>
      <c r="N23" s="82"/>
      <c r="P23" s="34"/>
      <c r="Q23" s="35"/>
      <c r="R23" s="35"/>
      <c r="S23" s="35"/>
      <c r="T23" s="36"/>
      <c r="U23" s="34"/>
      <c r="V23" s="36"/>
      <c r="W23" s="37"/>
      <c r="X23" s="34"/>
      <c r="Y23" s="36"/>
      <c r="Z23" s="34"/>
      <c r="AA23" s="36"/>
      <c r="AB23" s="34"/>
      <c r="AC23" s="35" t="s">
        <v>869</v>
      </c>
      <c r="AD23" s="133">
        <v>0.35</v>
      </c>
      <c r="AE23" s="35" t="s">
        <v>834</v>
      </c>
      <c r="AF23" s="133">
        <v>0.63</v>
      </c>
      <c r="AG23" s="35" t="s">
        <v>835</v>
      </c>
      <c r="AH23" s="135">
        <v>0.91</v>
      </c>
      <c r="AI23" s="34"/>
      <c r="AJ23" s="36"/>
    </row>
    <row r="24" spans="1:36" x14ac:dyDescent="0.25">
      <c r="A24" s="81"/>
      <c r="B24" s="85"/>
      <c r="C24" s="120"/>
      <c r="D24" s="116"/>
      <c r="E24" s="85"/>
      <c r="F24" s="153"/>
      <c r="G24" s="154"/>
      <c r="H24" s="155"/>
      <c r="I24" s="85"/>
      <c r="J24" s="82"/>
      <c r="K24" s="81"/>
      <c r="L24" s="99"/>
      <c r="M24" s="129" t="s">
        <v>886</v>
      </c>
      <c r="N24" s="82"/>
      <c r="P24" s="34"/>
      <c r="Q24" s="35"/>
      <c r="R24" s="35"/>
      <c r="S24" s="35"/>
      <c r="T24" s="36"/>
      <c r="U24" s="34"/>
      <c r="V24" s="36"/>
      <c r="W24" s="37"/>
      <c r="X24" s="34"/>
      <c r="Y24" s="36"/>
      <c r="Z24" s="34"/>
      <c r="AA24" s="36"/>
      <c r="AB24" s="34"/>
      <c r="AC24" s="35" t="s">
        <v>836</v>
      </c>
      <c r="AD24" s="133">
        <v>1.34</v>
      </c>
      <c r="AE24" s="35" t="s">
        <v>837</v>
      </c>
      <c r="AF24" s="133">
        <v>0</v>
      </c>
      <c r="AG24" s="35" t="s">
        <v>838</v>
      </c>
      <c r="AH24" s="135">
        <v>0.98</v>
      </c>
      <c r="AI24" s="34"/>
      <c r="AJ24" s="36"/>
    </row>
    <row r="25" spans="1:36" x14ac:dyDescent="0.25">
      <c r="A25" s="81"/>
      <c r="B25" s="85"/>
      <c r="C25" s="85"/>
      <c r="D25" s="85"/>
      <c r="E25" s="85"/>
      <c r="F25" s="85"/>
      <c r="G25" s="85"/>
      <c r="H25" s="85"/>
      <c r="I25" s="85"/>
      <c r="J25" s="82"/>
      <c r="K25" s="81"/>
      <c r="L25" s="79"/>
      <c r="M25" s="79"/>
      <c r="N25" s="82"/>
      <c r="P25" s="34"/>
      <c r="Q25" s="35"/>
      <c r="R25" s="35"/>
      <c r="S25" s="35"/>
      <c r="T25" s="36"/>
      <c r="U25" s="34"/>
      <c r="V25" s="36"/>
      <c r="W25" s="37"/>
      <c r="X25" s="34"/>
      <c r="Y25" s="36"/>
      <c r="Z25" s="34"/>
      <c r="AA25" s="36"/>
      <c r="AB25" s="34"/>
      <c r="AC25" s="35" t="s">
        <v>839</v>
      </c>
      <c r="AD25" s="133">
        <v>0</v>
      </c>
      <c r="AE25" s="35"/>
      <c r="AF25" s="133"/>
      <c r="AG25" s="35" t="s">
        <v>840</v>
      </c>
      <c r="AH25" s="135">
        <v>1.03</v>
      </c>
      <c r="AI25" s="34"/>
      <c r="AJ25" s="36"/>
    </row>
    <row r="26" spans="1:36" ht="15.75" x14ac:dyDescent="0.25">
      <c r="B26" s="84"/>
      <c r="C26" s="84"/>
      <c r="D26" s="84"/>
      <c r="E26" s="84"/>
      <c r="F26" s="84"/>
      <c r="G26" s="84"/>
      <c r="H26" s="84"/>
      <c r="I26" s="84"/>
      <c r="J26" s="79"/>
      <c r="K26" s="81"/>
      <c r="L26" s="92"/>
      <c r="M26" s="93" t="s">
        <v>729</v>
      </c>
      <c r="N26" s="82"/>
      <c r="P26" s="34"/>
      <c r="Q26" s="35"/>
      <c r="R26" s="35"/>
      <c r="S26" s="35"/>
      <c r="T26" s="36"/>
      <c r="U26" s="34"/>
      <c r="V26" s="36"/>
      <c r="W26" s="37"/>
      <c r="X26" s="34"/>
      <c r="Y26" s="36"/>
      <c r="Z26" s="34"/>
      <c r="AA26" s="36"/>
      <c r="AB26" s="34"/>
      <c r="AC26" s="35" t="s">
        <v>837</v>
      </c>
      <c r="AD26" s="133">
        <v>0</v>
      </c>
      <c r="AE26" s="35"/>
      <c r="AF26" s="133"/>
      <c r="AG26" s="35" t="s">
        <v>843</v>
      </c>
      <c r="AH26" s="135">
        <v>1.04</v>
      </c>
      <c r="AI26" s="34"/>
      <c r="AJ26" s="36"/>
    </row>
    <row r="27" spans="1:36" ht="21" x14ac:dyDescent="0.35">
      <c r="A27" s="81"/>
      <c r="B27" s="152" t="s">
        <v>711</v>
      </c>
      <c r="C27" s="152"/>
      <c r="D27" s="152"/>
      <c r="E27" s="152"/>
      <c r="F27" s="152"/>
      <c r="G27" s="152"/>
      <c r="H27" s="152"/>
      <c r="I27" s="152"/>
      <c r="J27" s="82"/>
      <c r="K27" s="81"/>
      <c r="L27" s="99"/>
      <c r="M27" s="95" t="s">
        <v>730</v>
      </c>
      <c r="N27" s="82"/>
      <c r="P27" s="34"/>
      <c r="Q27" s="35"/>
      <c r="R27" s="35"/>
      <c r="S27" s="35"/>
      <c r="T27" s="36"/>
      <c r="U27" s="34"/>
      <c r="V27" s="36"/>
      <c r="W27" s="37"/>
      <c r="X27" s="34"/>
      <c r="Y27" s="36"/>
      <c r="Z27" s="34"/>
      <c r="AA27" s="36"/>
      <c r="AB27" s="34"/>
      <c r="AC27" s="35"/>
      <c r="AD27" s="133"/>
      <c r="AE27" s="35"/>
      <c r="AF27" s="133"/>
      <c r="AG27" s="35" t="s">
        <v>844</v>
      </c>
      <c r="AH27" s="135">
        <v>1.33</v>
      </c>
      <c r="AI27" s="34"/>
      <c r="AJ27" s="36"/>
    </row>
    <row r="28" spans="1:36" x14ac:dyDescent="0.25">
      <c r="A28" s="81"/>
      <c r="B28" s="85"/>
      <c r="C28" s="85"/>
      <c r="D28" s="85"/>
      <c r="E28" s="85"/>
      <c r="F28" s="85"/>
      <c r="G28" s="85"/>
      <c r="H28" s="85"/>
      <c r="I28" s="85"/>
      <c r="J28" s="82"/>
      <c r="K28" s="81"/>
      <c r="L28" s="99"/>
      <c r="M28" s="95" t="s">
        <v>881</v>
      </c>
      <c r="N28" s="82"/>
      <c r="P28" s="34"/>
      <c r="Q28" s="35"/>
      <c r="R28" s="35"/>
      <c r="S28" s="35"/>
      <c r="T28" s="36"/>
      <c r="U28" s="34"/>
      <c r="V28" s="36"/>
      <c r="W28" s="37"/>
      <c r="X28" s="34"/>
      <c r="Y28" s="36"/>
      <c r="Z28" s="34"/>
      <c r="AA28" s="36"/>
      <c r="AB28" s="34"/>
      <c r="AC28" s="35"/>
      <c r="AD28" s="133"/>
      <c r="AE28" s="35"/>
      <c r="AF28" s="133"/>
      <c r="AG28" s="35" t="s">
        <v>845</v>
      </c>
      <c r="AH28" s="135">
        <v>1.1299999999999999</v>
      </c>
      <c r="AI28" s="34"/>
      <c r="AJ28" s="36"/>
    </row>
    <row r="29" spans="1:36" x14ac:dyDescent="0.25">
      <c r="A29" s="81"/>
      <c r="B29" s="85"/>
      <c r="C29" s="86" t="s">
        <v>712</v>
      </c>
      <c r="D29" s="86"/>
      <c r="E29" s="86"/>
      <c r="F29" s="165" t="str">
        <f>IFERROR(SUM(K13/K16)*K14,"0.0000")</f>
        <v>0.0000</v>
      </c>
      <c r="G29" s="165"/>
      <c r="H29" s="165"/>
      <c r="I29" s="85"/>
      <c r="J29" s="82"/>
      <c r="K29" s="76" t="s">
        <v>857</v>
      </c>
      <c r="L29" s="99"/>
      <c r="M29" s="97" t="s">
        <v>859</v>
      </c>
      <c r="N29" s="82"/>
      <c r="P29" s="34"/>
      <c r="Q29" s="35"/>
      <c r="R29" s="35"/>
      <c r="S29" s="35"/>
      <c r="T29" s="36"/>
      <c r="U29" s="34"/>
      <c r="V29" s="36"/>
      <c r="W29" s="37"/>
      <c r="X29" s="34"/>
      <c r="Y29" s="36"/>
      <c r="Z29" s="34"/>
      <c r="AA29" s="36"/>
      <c r="AB29" s="34"/>
      <c r="AC29" s="35"/>
      <c r="AD29" s="133"/>
      <c r="AE29" s="35"/>
      <c r="AF29" s="133"/>
      <c r="AG29" s="35" t="s">
        <v>846</v>
      </c>
      <c r="AH29" s="135">
        <v>1.01</v>
      </c>
      <c r="AI29" s="34"/>
      <c r="AJ29" s="36"/>
    </row>
    <row r="30" spans="1:36" x14ac:dyDescent="0.25">
      <c r="A30" s="81"/>
      <c r="B30" s="85"/>
      <c r="C30" s="86" t="s">
        <v>713</v>
      </c>
      <c r="D30" s="86"/>
      <c r="E30" s="86"/>
      <c r="F30" s="165">
        <f>IFERROR(SUM(K21*K17),"0.0000")</f>
        <v>0</v>
      </c>
      <c r="G30" s="165"/>
      <c r="H30" s="165"/>
      <c r="I30" s="85"/>
      <c r="J30" s="82"/>
      <c r="K30" s="90">
        <f>IF(F38="",SUM(F29+F30+F31+F32),SUM(F29+F30+F31+F32+F38))</f>
        <v>0</v>
      </c>
      <c r="L30" s="99"/>
      <c r="M30" s="95" t="s">
        <v>731</v>
      </c>
      <c r="N30" s="82"/>
      <c r="P30" s="34"/>
      <c r="Q30" s="35"/>
      <c r="R30" s="35"/>
      <c r="S30" s="35"/>
      <c r="T30" s="36"/>
      <c r="U30" s="34"/>
      <c r="V30" s="36"/>
      <c r="W30" s="37"/>
      <c r="X30" s="34"/>
      <c r="Y30" s="36"/>
      <c r="Z30" s="34"/>
      <c r="AA30" s="36"/>
      <c r="AB30" s="34"/>
      <c r="AC30" s="35"/>
      <c r="AD30" s="133"/>
      <c r="AE30" s="35"/>
      <c r="AF30" s="133"/>
      <c r="AG30" s="35" t="s">
        <v>847</v>
      </c>
      <c r="AH30" s="135">
        <v>1.27</v>
      </c>
      <c r="AI30" s="34"/>
      <c r="AJ30" s="36"/>
    </row>
    <row r="31" spans="1:36" x14ac:dyDescent="0.25">
      <c r="A31" s="81"/>
      <c r="B31" s="85"/>
      <c r="C31" s="86" t="s">
        <v>714</v>
      </c>
      <c r="D31" s="86"/>
      <c r="E31" s="86"/>
      <c r="F31" s="165">
        <f>(IF(F8="Spirit",Calculations!A4,IF(F8="Wine",Calculations!B4,IF(F8="Refreshment Beverage",Calculations!C4,IF(F8="Beer",Calculations!D4,0)))))</f>
        <v>0</v>
      </c>
      <c r="G31" s="165"/>
      <c r="H31" s="165"/>
      <c r="I31" s="85"/>
      <c r="J31" s="82"/>
      <c r="K31" s="81"/>
      <c r="L31" s="99"/>
      <c r="M31" s="97" t="s">
        <v>880</v>
      </c>
      <c r="N31" s="82"/>
      <c r="P31" s="34"/>
      <c r="Q31" s="35"/>
      <c r="R31" s="35"/>
      <c r="S31" s="35"/>
      <c r="T31" s="36"/>
      <c r="U31" s="34"/>
      <c r="V31" s="36"/>
      <c r="W31" s="37"/>
      <c r="X31" s="34"/>
      <c r="Y31" s="36"/>
      <c r="Z31" s="34"/>
      <c r="AA31" s="36"/>
      <c r="AB31" s="34"/>
      <c r="AC31" s="35"/>
      <c r="AD31" s="133"/>
      <c r="AE31" s="35"/>
      <c r="AF31" s="133"/>
      <c r="AG31" s="35" t="s">
        <v>848</v>
      </c>
      <c r="AH31" s="135">
        <v>0.77</v>
      </c>
      <c r="AI31" s="34"/>
      <c r="AJ31" s="36"/>
    </row>
    <row r="32" spans="1:36" x14ac:dyDescent="0.25">
      <c r="A32" s="81"/>
      <c r="B32" s="85"/>
      <c r="C32" s="86" t="s">
        <v>715</v>
      </c>
      <c r="D32" s="86"/>
      <c r="E32" s="86"/>
      <c r="F32" s="165">
        <f>(IF(F8="Spirit",Calculations!A7,IF(F8="Wine",Calculations!B7,IF(F8="Refreshment Beverage",Calculations!C7,IF(F8="Beer",Calculations!D7,0)))))</f>
        <v>0</v>
      </c>
      <c r="G32" s="165"/>
      <c r="H32" s="165"/>
      <c r="I32" s="85"/>
      <c r="J32" s="82"/>
      <c r="K32" s="81"/>
      <c r="L32" s="99"/>
      <c r="M32" s="97" t="s">
        <v>732</v>
      </c>
      <c r="N32" s="82"/>
      <c r="P32" s="34"/>
      <c r="Q32" s="35"/>
      <c r="R32" s="35"/>
      <c r="S32" s="35"/>
      <c r="T32" s="36"/>
      <c r="U32" s="34"/>
      <c r="V32" s="36"/>
      <c r="W32" s="37"/>
      <c r="X32" s="34"/>
      <c r="Y32" s="36"/>
      <c r="Z32" s="34"/>
      <c r="AA32" s="36"/>
      <c r="AB32" s="34"/>
      <c r="AC32" s="35"/>
      <c r="AD32" s="133"/>
      <c r="AE32" s="35"/>
      <c r="AF32" s="133"/>
      <c r="AG32" s="35" t="s">
        <v>849</v>
      </c>
      <c r="AH32" s="135">
        <v>1.78</v>
      </c>
      <c r="AI32" s="34"/>
      <c r="AJ32" s="36"/>
    </row>
    <row r="33" spans="1:36" x14ac:dyDescent="0.25">
      <c r="A33" s="81"/>
      <c r="B33" s="85"/>
      <c r="C33" s="86"/>
      <c r="D33" s="86"/>
      <c r="E33" s="86"/>
      <c r="F33" s="119"/>
      <c r="G33" s="119"/>
      <c r="H33" s="119"/>
      <c r="I33" s="85"/>
      <c r="J33" s="82"/>
      <c r="K33" s="81"/>
      <c r="L33" s="99"/>
      <c r="M33" s="97" t="s">
        <v>871</v>
      </c>
      <c r="N33" s="82"/>
      <c r="P33" s="34"/>
      <c r="Q33" s="35"/>
      <c r="R33" s="35"/>
      <c r="S33" s="35"/>
      <c r="T33" s="36"/>
      <c r="U33" s="34"/>
      <c r="V33" s="36"/>
      <c r="W33" s="37"/>
      <c r="X33" s="34"/>
      <c r="Y33" s="36"/>
      <c r="Z33" s="34"/>
      <c r="AA33" s="36"/>
      <c r="AB33" s="34"/>
      <c r="AC33" s="35"/>
      <c r="AD33" s="133"/>
      <c r="AE33" s="35"/>
      <c r="AF33" s="133"/>
      <c r="AG33" s="35" t="s">
        <v>850</v>
      </c>
      <c r="AH33" s="135">
        <v>0.83</v>
      </c>
      <c r="AI33" s="34"/>
      <c r="AJ33" s="36"/>
    </row>
    <row r="34" spans="1:36" x14ac:dyDescent="0.25">
      <c r="A34" s="81"/>
      <c r="B34" s="85"/>
      <c r="C34" s="86" t="s">
        <v>716</v>
      </c>
      <c r="D34" s="86"/>
      <c r="E34" s="86"/>
      <c r="F34" s="165">
        <f>(IF(F8="Spirit",Calculations!A10,IF(F8="Wine",Calculations!B10,IF(F8="Refreshment Beverage",Calculations!C10,IF(F8="Beer",Calculations!D10,0)))))</f>
        <v>0</v>
      </c>
      <c r="G34" s="165"/>
      <c r="H34" s="165"/>
      <c r="I34" s="85"/>
      <c r="J34" s="82"/>
      <c r="K34" s="81"/>
      <c r="L34" s="99"/>
      <c r="M34" s="95" t="s">
        <v>733</v>
      </c>
      <c r="N34" s="82"/>
      <c r="P34" s="34"/>
      <c r="Q34" s="35"/>
      <c r="R34" s="35"/>
      <c r="S34" s="35"/>
      <c r="T34" s="36"/>
      <c r="U34" s="34"/>
      <c r="V34" s="36"/>
      <c r="W34" s="37"/>
      <c r="X34" s="34"/>
      <c r="Y34" s="36"/>
      <c r="Z34" s="34"/>
      <c r="AA34" s="36"/>
      <c r="AB34" s="34"/>
      <c r="AC34" s="35"/>
      <c r="AD34" s="133"/>
      <c r="AE34" s="35"/>
      <c r="AF34" s="133"/>
      <c r="AG34" s="35" t="s">
        <v>851</v>
      </c>
      <c r="AH34" s="135">
        <v>0.97</v>
      </c>
      <c r="AI34" s="34"/>
      <c r="AJ34" s="36"/>
    </row>
    <row r="35" spans="1:36" x14ac:dyDescent="0.25">
      <c r="A35" s="81"/>
      <c r="B35" s="85"/>
      <c r="C35" s="86" t="s">
        <v>717</v>
      </c>
      <c r="D35" s="86"/>
      <c r="E35" s="86"/>
      <c r="F35" s="165">
        <f>(IF(F8="Spirit",Calculations!A13,IF(F8="Wine",Calculations!B13,IF(F8="Refreshment Beverage",Calculations!C13,IF(F8="Beer",Calculations!D13,0)))))</f>
        <v>0</v>
      </c>
      <c r="G35" s="165"/>
      <c r="H35" s="165"/>
      <c r="I35" s="85"/>
      <c r="J35" s="82"/>
      <c r="K35" s="79"/>
      <c r="L35" s="99"/>
      <c r="M35" s="97"/>
      <c r="P35" s="34"/>
      <c r="Q35" s="35"/>
      <c r="R35" s="35"/>
      <c r="S35" s="35"/>
      <c r="T35" s="36"/>
      <c r="U35" s="34"/>
      <c r="V35" s="36"/>
      <c r="W35" s="37"/>
      <c r="X35" s="34"/>
      <c r="Y35" s="36"/>
      <c r="Z35" s="34"/>
      <c r="AA35" s="36"/>
      <c r="AB35" s="34"/>
      <c r="AC35" s="35"/>
      <c r="AD35" s="133"/>
      <c r="AE35" s="35"/>
      <c r="AF35" s="133"/>
      <c r="AG35" s="35" t="s">
        <v>852</v>
      </c>
      <c r="AH35" s="135">
        <v>1.84</v>
      </c>
      <c r="AI35" s="34"/>
      <c r="AJ35" s="36"/>
    </row>
    <row r="36" spans="1:36" x14ac:dyDescent="0.25">
      <c r="A36" s="81"/>
      <c r="B36" s="85"/>
      <c r="C36" s="86" t="s">
        <v>853</v>
      </c>
      <c r="D36" s="86"/>
      <c r="E36" s="86"/>
      <c r="F36" s="165">
        <f>(IF(F8="Spirit",Calculations!A16,IF(F8="Wine",Calculations!B16,IF(F8="Refreshment Beverage",Calculations!C16,IF(F8="Beer",Calculations!D16,0)))))</f>
        <v>0</v>
      </c>
      <c r="G36" s="165"/>
      <c r="H36" s="165"/>
      <c r="I36" s="85"/>
      <c r="J36" s="82"/>
      <c r="K36" s="103" t="s">
        <v>860</v>
      </c>
      <c r="L36" s="99"/>
      <c r="M36" s="97"/>
      <c r="P36" s="39"/>
      <c r="Q36" s="70"/>
      <c r="R36" s="70"/>
      <c r="S36" s="70"/>
      <c r="T36" s="49"/>
      <c r="U36" s="39"/>
      <c r="V36" s="49"/>
      <c r="W36" s="38"/>
      <c r="X36" s="39"/>
      <c r="Y36" s="49"/>
      <c r="Z36" s="39"/>
      <c r="AA36" s="49"/>
      <c r="AB36" s="39"/>
      <c r="AC36" s="70"/>
      <c r="AD36" s="134"/>
      <c r="AE36" s="70"/>
      <c r="AF36" s="134"/>
      <c r="AG36" s="70" t="s">
        <v>837</v>
      </c>
      <c r="AH36" s="136">
        <v>0</v>
      </c>
      <c r="AI36" s="70"/>
      <c r="AJ36" s="49"/>
    </row>
    <row r="37" spans="1:36" x14ac:dyDescent="0.25">
      <c r="A37" s="81"/>
      <c r="B37" s="85"/>
      <c r="C37" s="86" t="s">
        <v>718</v>
      </c>
      <c r="D37" s="86"/>
      <c r="E37" s="86"/>
      <c r="F37" s="165">
        <f>(IF(F8="Spirit",Calculations!A19,IF(F8="Wine",Calculations!B19,IF(F8="Refreshment Beverage",Calculations!C19,IF(F8="Beer",Calculations!D19,0)))))</f>
        <v>0</v>
      </c>
      <c r="G37" s="165"/>
      <c r="H37" s="165"/>
      <c r="I37" s="85"/>
      <c r="J37" s="82"/>
      <c r="K37" s="104">
        <f>IF(C38="",SUM(F29:H38),SUM(F29:H38))</f>
        <v>0</v>
      </c>
      <c r="L37" s="99"/>
      <c r="M37" s="97"/>
      <c r="P37" s="105"/>
      <c r="Q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</row>
    <row r="38" spans="1:36" x14ac:dyDescent="0.25">
      <c r="A38" s="81"/>
      <c r="B38" s="85"/>
      <c r="C38" s="86" t="str">
        <f>IF(F8="Beer","MBLL Dist. Beer Extra Charge","")</f>
        <v/>
      </c>
      <c r="D38" s="86"/>
      <c r="E38" s="86"/>
      <c r="F38" s="165" t="str">
        <f>IF(C38="","",IF(F19="Can",(Calculations!J26/24*G18),IF(F19="Bottle",(Calculations!J28/24*G18),"0.0000")))</f>
        <v/>
      </c>
      <c r="G38" s="165"/>
      <c r="H38" s="165"/>
      <c r="I38" s="85"/>
      <c r="J38" s="82"/>
      <c r="K38" s="79"/>
      <c r="L38" s="99"/>
      <c r="M38" s="97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</row>
    <row r="39" spans="1:36" x14ac:dyDescent="0.25">
      <c r="B39" s="85"/>
      <c r="C39" s="85"/>
      <c r="D39" s="85"/>
      <c r="E39" s="85"/>
      <c r="F39" s="85"/>
      <c r="G39" s="85"/>
      <c r="H39" s="85"/>
      <c r="I39" s="85"/>
      <c r="J39" s="121"/>
      <c r="K39" s="79"/>
      <c r="L39" s="99"/>
      <c r="M39" s="97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</row>
    <row r="40" spans="1:36" x14ac:dyDescent="0.25">
      <c r="A40" s="81"/>
      <c r="B40" s="84"/>
      <c r="C40" s="84"/>
      <c r="D40" s="84"/>
      <c r="E40" s="84"/>
      <c r="F40" s="84"/>
      <c r="G40" s="84"/>
      <c r="H40" s="84"/>
      <c r="I40" s="84"/>
      <c r="J40" s="82"/>
      <c r="K40" s="79"/>
      <c r="L40" s="99"/>
      <c r="M40" s="97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</row>
    <row r="41" spans="1:36" ht="17.25" x14ac:dyDescent="0.3">
      <c r="A41" s="81"/>
      <c r="B41" s="166" t="s">
        <v>719</v>
      </c>
      <c r="C41" s="166"/>
      <c r="D41" s="166"/>
      <c r="E41" s="166"/>
      <c r="F41" s="166"/>
      <c r="G41" s="164">
        <f>K37</f>
        <v>0</v>
      </c>
      <c r="H41" s="164"/>
      <c r="I41" s="164"/>
      <c r="J41" s="82"/>
      <c r="K41" s="79"/>
      <c r="L41" s="99"/>
      <c r="M41" s="99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</row>
    <row r="42" spans="1:36" x14ac:dyDescent="0.25">
      <c r="B42" s="162" t="s">
        <v>720</v>
      </c>
      <c r="C42" s="162"/>
      <c r="D42" s="162"/>
      <c r="E42" s="162"/>
      <c r="F42" s="162"/>
      <c r="G42" s="163">
        <f>IFERROR(IF(F8="Spirit",Calculations!G22,IF(F8="Wine",Calculations!H22,IF(F8="Refreshment Beverage",Calculations!I22,IF(F8="Beer",Calculations!J22,0)))),0)</f>
        <v>0</v>
      </c>
      <c r="H42" s="163"/>
      <c r="I42" s="163"/>
      <c r="J42" s="79"/>
      <c r="K42" s="79"/>
      <c r="L42" s="99"/>
      <c r="M42" s="99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</row>
    <row r="43" spans="1:36" x14ac:dyDescent="0.25">
      <c r="B43" s="83"/>
      <c r="C43" s="83"/>
      <c r="D43" s="83"/>
      <c r="E43" s="83"/>
      <c r="F43" s="83"/>
      <c r="G43" s="83"/>
      <c r="H43" s="83"/>
      <c r="I43" s="83"/>
      <c r="L43" s="127"/>
      <c r="M43" s="128"/>
      <c r="N43" s="100" t="s">
        <v>896</v>
      </c>
      <c r="O43" s="107" t="s">
        <v>864</v>
      </c>
      <c r="P43" s="79" t="s">
        <v>865</v>
      </c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</row>
    <row r="44" spans="1:36" hidden="1" x14ac:dyDescent="0.25"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</row>
    <row r="45" spans="1:36" hidden="1" x14ac:dyDescent="0.25"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</row>
    <row r="46" spans="1:36" hidden="1" x14ac:dyDescent="0.25"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</row>
    <row r="47" spans="1:36" hidden="1" x14ac:dyDescent="0.25"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</row>
    <row r="48" spans="1:36" hidden="1" x14ac:dyDescent="0.25"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</row>
    <row r="49" spans="16:34" hidden="1" x14ac:dyDescent="0.25"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</row>
    <row r="50" spans="16:34" hidden="1" x14ac:dyDescent="0.25"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</row>
    <row r="51" spans="16:34" hidden="1" x14ac:dyDescent="0.25"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</row>
    <row r="52" spans="16:34" hidden="1" x14ac:dyDescent="0.25">
      <c r="R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</row>
    <row r="53" spans="16:34" hidden="1" x14ac:dyDescent="0.25"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</row>
    <row r="54" spans="16:34" hidden="1" x14ac:dyDescent="0.25"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</row>
    <row r="55" spans="16:34" hidden="1" x14ac:dyDescent="0.25"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</row>
    <row r="56" spans="16:34" hidden="1" x14ac:dyDescent="0.25"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</row>
    <row r="57" spans="16:34" hidden="1" x14ac:dyDescent="0.25"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</row>
    <row r="58" spans="16:34" hidden="1" x14ac:dyDescent="0.25"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</row>
    <row r="59" spans="16:34" hidden="1" x14ac:dyDescent="0.25"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</row>
    <row r="60" spans="16:34" hidden="1" x14ac:dyDescent="0.25"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</row>
    <row r="61" spans="16:34" hidden="1" x14ac:dyDescent="0.25"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</row>
    <row r="62" spans="16:34" hidden="1" x14ac:dyDescent="0.25"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</row>
    <row r="63" spans="16:34" hidden="1" x14ac:dyDescent="0.25"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</row>
    <row r="64" spans="16:34" hidden="1" x14ac:dyDescent="0.25"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</row>
    <row r="65" spans="16:34" hidden="1" x14ac:dyDescent="0.25"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</row>
    <row r="66" spans="16:34" hidden="1" x14ac:dyDescent="0.25"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</row>
    <row r="67" spans="16:34" hidden="1" x14ac:dyDescent="0.25"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</row>
    <row r="68" spans="16:34" hidden="1" x14ac:dyDescent="0.25"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</row>
    <row r="69" spans="16:34" hidden="1" x14ac:dyDescent="0.25"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</row>
    <row r="70" spans="16:34" hidden="1" x14ac:dyDescent="0.25"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</row>
    <row r="71" spans="16:34" hidden="1" x14ac:dyDescent="0.25"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</row>
    <row r="72" spans="16:34" hidden="1" x14ac:dyDescent="0.25"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</row>
    <row r="73" spans="16:34" hidden="1" x14ac:dyDescent="0.25"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</row>
    <row r="74" spans="16:34" hidden="1" x14ac:dyDescent="0.25"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</row>
    <row r="75" spans="16:34" hidden="1" x14ac:dyDescent="0.25"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</row>
    <row r="76" spans="16:34" hidden="1" x14ac:dyDescent="0.25"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</row>
    <row r="77" spans="16:34" hidden="1" x14ac:dyDescent="0.25"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</row>
    <row r="78" spans="16:34" hidden="1" x14ac:dyDescent="0.25"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</row>
    <row r="79" spans="16:34" hidden="1" x14ac:dyDescent="0.25"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</row>
    <row r="80" spans="16:34" hidden="1" x14ac:dyDescent="0.25"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</row>
    <row r="81" spans="16:34" hidden="1" x14ac:dyDescent="0.25"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</row>
    <row r="82" spans="16:34" hidden="1" x14ac:dyDescent="0.25"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</row>
    <row r="83" spans="16:34" hidden="1" x14ac:dyDescent="0.25"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</row>
    <row r="84" spans="16:34" hidden="1" x14ac:dyDescent="0.25"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</row>
    <row r="85" spans="16:34" hidden="1" x14ac:dyDescent="0.25"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</row>
    <row r="86" spans="16:34" hidden="1" x14ac:dyDescent="0.25"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</row>
    <row r="87" spans="16:34" hidden="1" x14ac:dyDescent="0.25"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</row>
    <row r="88" spans="16:34" hidden="1" x14ac:dyDescent="0.25"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</row>
    <row r="89" spans="16:34" hidden="1" x14ac:dyDescent="0.25"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</row>
    <row r="90" spans="16:34" hidden="1" x14ac:dyDescent="0.25"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</row>
    <row r="91" spans="16:34" hidden="1" x14ac:dyDescent="0.25"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</row>
    <row r="92" spans="16:34" hidden="1" x14ac:dyDescent="0.25"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</row>
    <row r="93" spans="16:34" hidden="1" x14ac:dyDescent="0.25"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</row>
    <row r="94" spans="16:34" hidden="1" x14ac:dyDescent="0.25"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</row>
    <row r="95" spans="16:34" hidden="1" x14ac:dyDescent="0.25"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</row>
    <row r="96" spans="16:34" hidden="1" x14ac:dyDescent="0.25"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</row>
    <row r="97" spans="16:34" hidden="1" x14ac:dyDescent="0.25"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</row>
    <row r="98" spans="16:34" hidden="1" x14ac:dyDescent="0.25"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</row>
    <row r="99" spans="16:34" hidden="1" x14ac:dyDescent="0.25"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</row>
    <row r="100" spans="16:34" hidden="1" x14ac:dyDescent="0.25"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</row>
    <row r="101" spans="16:34" hidden="1" x14ac:dyDescent="0.25"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</row>
    <row r="102" spans="16:34" hidden="1" x14ac:dyDescent="0.25"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</row>
    <row r="103" spans="16:34" hidden="1" x14ac:dyDescent="0.25"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</row>
    <row r="104" spans="16:34" hidden="1" x14ac:dyDescent="0.25"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</row>
    <row r="105" spans="16:34" hidden="1" x14ac:dyDescent="0.25"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</row>
    <row r="106" spans="16:34" hidden="1" x14ac:dyDescent="0.25"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</row>
    <row r="107" spans="16:34" hidden="1" x14ac:dyDescent="0.25"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</row>
    <row r="108" spans="16:34" hidden="1" x14ac:dyDescent="0.25"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</row>
    <row r="109" spans="16:34" hidden="1" x14ac:dyDescent="0.25"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</row>
    <row r="110" spans="16:34" hidden="1" x14ac:dyDescent="0.25"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</row>
    <row r="111" spans="16:34" hidden="1" x14ac:dyDescent="0.25"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</row>
    <row r="112" spans="16:34" hidden="1" x14ac:dyDescent="0.25"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</row>
    <row r="113" spans="16:34" hidden="1" x14ac:dyDescent="0.25"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</row>
    <row r="114" spans="16:34" hidden="1" x14ac:dyDescent="0.25"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</row>
    <row r="115" spans="16:34" hidden="1" x14ac:dyDescent="0.25"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</row>
    <row r="116" spans="16:34" hidden="1" x14ac:dyDescent="0.25"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</row>
    <row r="117" spans="16:34" hidden="1" x14ac:dyDescent="0.25"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</row>
    <row r="118" spans="16:34" hidden="1" x14ac:dyDescent="0.25"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</row>
    <row r="119" spans="16:34" hidden="1" x14ac:dyDescent="0.25"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</row>
    <row r="120" spans="16:34" hidden="1" x14ac:dyDescent="0.25"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</row>
    <row r="121" spans="16:34" hidden="1" x14ac:dyDescent="0.25"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</row>
    <row r="122" spans="16:34" hidden="1" x14ac:dyDescent="0.25"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</row>
    <row r="123" spans="16:34" hidden="1" x14ac:dyDescent="0.25"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</row>
    <row r="124" spans="16:34" hidden="1" x14ac:dyDescent="0.25"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</row>
    <row r="125" spans="16:34" hidden="1" x14ac:dyDescent="0.25"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</row>
    <row r="126" spans="16:34" hidden="1" x14ac:dyDescent="0.25"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</row>
    <row r="127" spans="16:34" hidden="1" x14ac:dyDescent="0.25"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</row>
    <row r="128" spans="16:34" hidden="1" x14ac:dyDescent="0.25"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</row>
    <row r="129" spans="16:34" hidden="1" x14ac:dyDescent="0.25"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</row>
    <row r="130" spans="16:34" hidden="1" x14ac:dyDescent="0.25"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</row>
    <row r="131" spans="16:34" hidden="1" x14ac:dyDescent="0.25"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</row>
    <row r="132" spans="16:34" hidden="1" x14ac:dyDescent="0.25"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</row>
    <row r="133" spans="16:34" hidden="1" x14ac:dyDescent="0.25"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</row>
    <row r="134" spans="16:34" hidden="1" x14ac:dyDescent="0.25"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</row>
    <row r="135" spans="16:34" hidden="1" x14ac:dyDescent="0.25"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</row>
    <row r="136" spans="16:34" hidden="1" x14ac:dyDescent="0.25"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</row>
    <row r="137" spans="16:34" hidden="1" x14ac:dyDescent="0.25"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</row>
    <row r="138" spans="16:34" hidden="1" x14ac:dyDescent="0.25"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</row>
    <row r="139" spans="16:34" hidden="1" x14ac:dyDescent="0.25"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</row>
    <row r="140" spans="16:34" hidden="1" x14ac:dyDescent="0.25"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</row>
    <row r="141" spans="16:34" hidden="1" x14ac:dyDescent="0.25"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</row>
    <row r="142" spans="16:34" hidden="1" x14ac:dyDescent="0.25"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</row>
    <row r="143" spans="16:34" hidden="1" x14ac:dyDescent="0.25"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</row>
    <row r="144" spans="16:34" hidden="1" x14ac:dyDescent="0.25"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</row>
    <row r="145" spans="16:34" hidden="1" x14ac:dyDescent="0.25"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</row>
    <row r="146" spans="16:34" hidden="1" x14ac:dyDescent="0.25"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</row>
    <row r="147" spans="16:34" hidden="1" x14ac:dyDescent="0.25"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</row>
    <row r="148" spans="16:34" hidden="1" x14ac:dyDescent="0.25"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</row>
    <row r="149" spans="16:34" hidden="1" x14ac:dyDescent="0.25"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</row>
    <row r="150" spans="16:34" hidden="1" x14ac:dyDescent="0.25"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</row>
    <row r="151" spans="16:34" hidden="1" x14ac:dyDescent="0.25"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</row>
    <row r="152" spans="16:34" hidden="1" x14ac:dyDescent="0.25"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</row>
    <row r="153" spans="16:34" hidden="1" x14ac:dyDescent="0.25"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</row>
    <row r="154" spans="16:34" hidden="1" x14ac:dyDescent="0.25"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</row>
    <row r="155" spans="16:34" hidden="1" x14ac:dyDescent="0.25"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</row>
    <row r="156" spans="16:34" hidden="1" x14ac:dyDescent="0.25"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</row>
    <row r="157" spans="16:34" hidden="1" x14ac:dyDescent="0.25"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</row>
    <row r="158" spans="16:34" hidden="1" x14ac:dyDescent="0.25"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</row>
    <row r="159" spans="16:34" hidden="1" x14ac:dyDescent="0.25"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</row>
    <row r="160" spans="16:34" hidden="1" x14ac:dyDescent="0.25"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</row>
    <row r="161" spans="16:34" hidden="1" x14ac:dyDescent="0.25"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</row>
    <row r="162" spans="16:34" hidden="1" x14ac:dyDescent="0.25"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</row>
    <row r="163" spans="16:34" hidden="1" x14ac:dyDescent="0.25"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</row>
    <row r="164" spans="16:34" hidden="1" x14ac:dyDescent="0.25"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</row>
    <row r="165" spans="16:34" hidden="1" x14ac:dyDescent="0.25"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</row>
    <row r="166" spans="16:34" hidden="1" x14ac:dyDescent="0.25"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</row>
    <row r="167" spans="16:34" hidden="1" x14ac:dyDescent="0.25"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</row>
    <row r="168" spans="16:34" hidden="1" x14ac:dyDescent="0.25"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</row>
    <row r="169" spans="16:34" hidden="1" x14ac:dyDescent="0.25"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</row>
    <row r="170" spans="16:34" hidden="1" x14ac:dyDescent="0.25"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</row>
    <row r="171" spans="16:34" hidden="1" x14ac:dyDescent="0.25"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</row>
    <row r="172" spans="16:34" hidden="1" x14ac:dyDescent="0.25"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</row>
    <row r="173" spans="16:34" hidden="1" x14ac:dyDescent="0.25"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</row>
    <row r="174" spans="16:34" hidden="1" x14ac:dyDescent="0.25"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</row>
    <row r="175" spans="16:34" hidden="1" x14ac:dyDescent="0.25"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</row>
    <row r="176" spans="16:34" hidden="1" x14ac:dyDescent="0.25"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</row>
    <row r="177" spans="16:34" hidden="1" x14ac:dyDescent="0.25"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</row>
    <row r="178" spans="16:34" hidden="1" x14ac:dyDescent="0.25"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</row>
    <row r="179" spans="16:34" hidden="1" x14ac:dyDescent="0.25"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</row>
    <row r="180" spans="16:34" hidden="1" x14ac:dyDescent="0.25"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</row>
    <row r="181" spans="16:34" hidden="1" x14ac:dyDescent="0.25"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</row>
    <row r="182" spans="16:34" hidden="1" x14ac:dyDescent="0.25"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</row>
    <row r="183" spans="16:34" hidden="1" x14ac:dyDescent="0.25"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</row>
    <row r="184" spans="16:34" hidden="1" x14ac:dyDescent="0.25"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</row>
    <row r="185" spans="16:34" hidden="1" x14ac:dyDescent="0.25"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</row>
    <row r="186" spans="16:34" hidden="1" x14ac:dyDescent="0.25"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</row>
    <row r="187" spans="16:34" hidden="1" x14ac:dyDescent="0.25"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</row>
    <row r="188" spans="16:34" hidden="1" x14ac:dyDescent="0.25"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</row>
    <row r="189" spans="16:34" hidden="1" x14ac:dyDescent="0.25"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</row>
    <row r="190" spans="16:34" hidden="1" x14ac:dyDescent="0.25"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</row>
    <row r="191" spans="16:34" hidden="1" x14ac:dyDescent="0.25"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</row>
    <row r="192" spans="16:34" hidden="1" x14ac:dyDescent="0.25"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</row>
    <row r="193" spans="16:34" hidden="1" x14ac:dyDescent="0.25"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</row>
    <row r="194" spans="16:34" hidden="1" x14ac:dyDescent="0.25"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</row>
    <row r="195" spans="16:34" hidden="1" x14ac:dyDescent="0.25"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</row>
    <row r="196" spans="16:34" hidden="1" x14ac:dyDescent="0.25"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</row>
    <row r="197" spans="16:34" hidden="1" x14ac:dyDescent="0.25"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</row>
    <row r="198" spans="16:34" hidden="1" x14ac:dyDescent="0.25"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</row>
    <row r="199" spans="16:34" hidden="1" x14ac:dyDescent="0.25"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</row>
    <row r="200" spans="16:34" hidden="1" x14ac:dyDescent="0.25"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  <c r="AH200" s="74"/>
    </row>
    <row r="201" spans="16:34" hidden="1" x14ac:dyDescent="0.25"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</row>
    <row r="202" spans="16:34" hidden="1" x14ac:dyDescent="0.25"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</row>
    <row r="203" spans="16:34" hidden="1" x14ac:dyDescent="0.25"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</row>
    <row r="204" spans="16:34" hidden="1" x14ac:dyDescent="0.25"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</row>
    <row r="205" spans="16:34" hidden="1" x14ac:dyDescent="0.25"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</row>
    <row r="206" spans="16:34" hidden="1" x14ac:dyDescent="0.25"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</row>
    <row r="207" spans="16:34" hidden="1" x14ac:dyDescent="0.25"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</row>
    <row r="208" spans="16:34" hidden="1" x14ac:dyDescent="0.25"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</row>
    <row r="209" spans="16:34" hidden="1" x14ac:dyDescent="0.25"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</row>
    <row r="210" spans="16:34" hidden="1" x14ac:dyDescent="0.25"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</row>
    <row r="211" spans="16:34" hidden="1" x14ac:dyDescent="0.25"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</row>
    <row r="212" spans="16:34" hidden="1" x14ac:dyDescent="0.25"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</row>
    <row r="213" spans="16:34" hidden="1" x14ac:dyDescent="0.25"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</row>
    <row r="214" spans="16:34" hidden="1" x14ac:dyDescent="0.25"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</row>
    <row r="215" spans="16:34" hidden="1" x14ac:dyDescent="0.25"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  <c r="AH215" s="74"/>
    </row>
    <row r="216" spans="16:34" hidden="1" x14ac:dyDescent="0.25"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</row>
    <row r="217" spans="16:34" hidden="1" x14ac:dyDescent="0.25"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</row>
    <row r="218" spans="16:34" hidden="1" x14ac:dyDescent="0.25"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74"/>
    </row>
    <row r="219" spans="16:34" hidden="1" x14ac:dyDescent="0.25"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</row>
    <row r="220" spans="16:34" hidden="1" x14ac:dyDescent="0.25"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  <c r="AH220" s="74"/>
    </row>
    <row r="221" spans="16:34" hidden="1" x14ac:dyDescent="0.25"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</row>
    <row r="222" spans="16:34" hidden="1" x14ac:dyDescent="0.25"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</row>
    <row r="223" spans="16:34" hidden="1" x14ac:dyDescent="0.25"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/>
    </row>
    <row r="224" spans="16:34" hidden="1" x14ac:dyDescent="0.25"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</row>
    <row r="225" spans="16:34" hidden="1" x14ac:dyDescent="0.25"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</row>
    <row r="226" spans="16:34" hidden="1" x14ac:dyDescent="0.25"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</row>
    <row r="227" spans="16:34" hidden="1" x14ac:dyDescent="0.25"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</row>
    <row r="228" spans="16:34" hidden="1" x14ac:dyDescent="0.25"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4"/>
    </row>
    <row r="229" spans="16:34" hidden="1" x14ac:dyDescent="0.25"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</row>
    <row r="230" spans="16:34" hidden="1" x14ac:dyDescent="0.25"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</row>
    <row r="231" spans="16:34" hidden="1" x14ac:dyDescent="0.25"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</row>
    <row r="232" spans="16:34" hidden="1" x14ac:dyDescent="0.25"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</row>
    <row r="233" spans="16:34" hidden="1" x14ac:dyDescent="0.25"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</row>
    <row r="234" spans="16:34" hidden="1" x14ac:dyDescent="0.25"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  <c r="AH234" s="74"/>
    </row>
    <row r="235" spans="16:34" hidden="1" x14ac:dyDescent="0.25"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</row>
    <row r="236" spans="16:34" hidden="1" x14ac:dyDescent="0.25"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</row>
    <row r="237" spans="16:34" hidden="1" x14ac:dyDescent="0.25"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</row>
    <row r="238" spans="16:34" hidden="1" x14ac:dyDescent="0.25"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</row>
    <row r="239" spans="16:34" hidden="1" x14ac:dyDescent="0.25"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</row>
    <row r="240" spans="16:34" hidden="1" x14ac:dyDescent="0.25"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</row>
    <row r="241" spans="16:34" hidden="1" x14ac:dyDescent="0.25"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</row>
    <row r="242" spans="16:34" hidden="1" x14ac:dyDescent="0.25"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</row>
    <row r="243" spans="16:34" hidden="1" x14ac:dyDescent="0.25"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74"/>
    </row>
    <row r="244" spans="16:34" hidden="1" x14ac:dyDescent="0.25"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</row>
    <row r="245" spans="16:34" hidden="1" x14ac:dyDescent="0.25"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</row>
    <row r="246" spans="16:34" hidden="1" x14ac:dyDescent="0.25"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</row>
    <row r="247" spans="16:34" hidden="1" x14ac:dyDescent="0.25"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</row>
    <row r="248" spans="16:34" hidden="1" x14ac:dyDescent="0.25"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</row>
    <row r="249" spans="16:34" hidden="1" x14ac:dyDescent="0.25"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</row>
    <row r="250" spans="16:34" hidden="1" x14ac:dyDescent="0.25"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  <c r="AG250" s="74"/>
      <c r="AH250" s="74"/>
    </row>
    <row r="251" spans="16:34" hidden="1" x14ac:dyDescent="0.25"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</row>
    <row r="252" spans="16:34" hidden="1" x14ac:dyDescent="0.25"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  <c r="AG252" s="74"/>
      <c r="AH252" s="74"/>
    </row>
    <row r="253" spans="16:34" hidden="1" x14ac:dyDescent="0.25"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</row>
    <row r="254" spans="16:34" hidden="1" x14ac:dyDescent="0.25"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  <c r="AH254" s="74"/>
    </row>
    <row r="255" spans="16:34" hidden="1" x14ac:dyDescent="0.25"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</row>
    <row r="256" spans="16:34" hidden="1" x14ac:dyDescent="0.25"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  <c r="AG256" s="74"/>
      <c r="AH256" s="74"/>
    </row>
    <row r="257" spans="16:34" hidden="1" x14ac:dyDescent="0.25"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</row>
    <row r="258" spans="16:34" hidden="1" x14ac:dyDescent="0.25"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74"/>
    </row>
    <row r="259" spans="16:34" hidden="1" x14ac:dyDescent="0.25">
      <c r="P259" s="74"/>
      <c r="Q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</row>
  </sheetData>
  <sheetProtection algorithmName="SHA-512" hashValue="xQ/2D8wHXfl9/qKvDLet6L831uVMdLCcK2cpOowJuxtM/WA78gHgBqsTxFHegeVclMhB991hvZdXcRzY5bL/gA==" saltValue="GgZe4Yta2bTasBAPhkkA4Q==" spinCount="100000" sheet="1" selectLockedCells="1"/>
  <mergeCells count="56">
    <mergeCell ref="B42:F42"/>
    <mergeCell ref="G42:I42"/>
    <mergeCell ref="G41:I41"/>
    <mergeCell ref="F22:H22"/>
    <mergeCell ref="G23:H23"/>
    <mergeCell ref="F32:H32"/>
    <mergeCell ref="F31:H31"/>
    <mergeCell ref="F30:H30"/>
    <mergeCell ref="F29:H29"/>
    <mergeCell ref="B41:F41"/>
    <mergeCell ref="B27:I27"/>
    <mergeCell ref="F38:H38"/>
    <mergeCell ref="F37:H37"/>
    <mergeCell ref="F36:H36"/>
    <mergeCell ref="F35:H35"/>
    <mergeCell ref="F34:H34"/>
    <mergeCell ref="F24:H24"/>
    <mergeCell ref="F14:H14"/>
    <mergeCell ref="F13:H13"/>
    <mergeCell ref="F11:H11"/>
    <mergeCell ref="F10:H10"/>
    <mergeCell ref="F15:H15"/>
    <mergeCell ref="F21:H21"/>
    <mergeCell ref="F20:H20"/>
    <mergeCell ref="F19:H19"/>
    <mergeCell ref="F17:H17"/>
    <mergeCell ref="F16:H16"/>
    <mergeCell ref="G18:H18"/>
    <mergeCell ref="F9:H9"/>
    <mergeCell ref="B2:I2"/>
    <mergeCell ref="B4:I4"/>
    <mergeCell ref="B3:I3"/>
    <mergeCell ref="B6:I6"/>
    <mergeCell ref="F8:H8"/>
    <mergeCell ref="P2:T2"/>
    <mergeCell ref="U2:V2"/>
    <mergeCell ref="Z2:AA2"/>
    <mergeCell ref="AB2:AH2"/>
    <mergeCell ref="AE4:AE5"/>
    <mergeCell ref="AF4:AF5"/>
    <mergeCell ref="AG4:AG5"/>
    <mergeCell ref="W4:W5"/>
    <mergeCell ref="AB4:AB5"/>
    <mergeCell ref="AC4:AC5"/>
    <mergeCell ref="U4:U5"/>
    <mergeCell ref="V4:V5"/>
    <mergeCell ref="Z4:Z5"/>
    <mergeCell ref="AA4:AA5"/>
    <mergeCell ref="AD4:AD5"/>
    <mergeCell ref="AI2:AJ2"/>
    <mergeCell ref="AI4:AI5"/>
    <mergeCell ref="AJ4:AJ5"/>
    <mergeCell ref="X4:X5"/>
    <mergeCell ref="Y4:Y5"/>
    <mergeCell ref="X2:Y2"/>
    <mergeCell ref="AH4:AH5"/>
  </mergeCells>
  <conditionalFormatting sqref="G42:I42">
    <cfRule type="cellIs" dxfId="8" priority="2" operator="greaterThan">
      <formula>$G$41</formula>
    </cfRule>
  </conditionalFormatting>
  <conditionalFormatting sqref="H33">
    <cfRule type="expression" dxfId="7" priority="1">
      <formula>$C$33=""</formula>
    </cfRule>
  </conditionalFormatting>
  <dataValidations count="11">
    <dataValidation type="list" allowBlank="1" showInputMessage="1" showErrorMessage="1" sqref="G23:H23" xr:uid="{00000000-0002-0000-0000-000000000000}">
      <formula1>"Yes,No"</formula1>
    </dataValidation>
    <dataValidation allowBlank="1" showInputMessage="1" showErrorMessage="1" prompt="Enter the Individual Container Size in Litres_x000a_(Closed packages of Beer or Refreshment Beverages: Enter the individual can or bottle size)" sqref="C17" xr:uid="{00000000-0002-0000-0000-000001000000}"/>
    <dataValidation type="list" allowBlank="1" showInputMessage="1" showErrorMessage="1" sqref="F8:H8" xr:uid="{00000000-0002-0000-0000-000002000000}">
      <formula1>$P$5:$P$8</formula1>
    </dataValidation>
    <dataValidation type="list" allowBlank="1" showInputMessage="1" showErrorMessage="1" sqref="F10:H10" xr:uid="{00000000-0002-0000-0000-000003000000}">
      <formula1>$U$6:$U$7</formula1>
    </dataValidation>
    <dataValidation type="list" allowBlank="1" showInputMessage="1" showErrorMessage="1" sqref="F14:H14" xr:uid="{00000000-0002-0000-0000-000004000000}">
      <formula1>$Z$6:$Z$12</formula1>
    </dataValidation>
    <dataValidation type="list" allowBlank="1" showInputMessage="1" showErrorMessage="1" sqref="F20:H20" xr:uid="{00000000-0002-0000-0000-000005000000}">
      <formula1>$AB$6:$AB$8</formula1>
    </dataValidation>
    <dataValidation type="list" allowBlank="1" showInputMessage="1" showErrorMessage="1" sqref="F9:H9" xr:uid="{00000000-0002-0000-0000-000006000000}">
      <formula1>IF(F8="","",IF(F8="Spirit",$Q$6:$Q$13,IF(F8="Wine",$R$6:$R$8,IF(F8="Refreshment Beverage",$S$6:$S$9,IF(F8="Beer",$T$6,"")))))</formula1>
    </dataValidation>
    <dataValidation type="list" allowBlank="1" showInputMessage="1" showErrorMessage="1" sqref="F11:H11" xr:uid="{00000000-0002-0000-0000-000007000000}">
      <formula1>IF(F10="Yes",Micro,0)</formula1>
    </dataValidation>
    <dataValidation type="list" allowBlank="1" showInputMessage="1" showErrorMessage="1" sqref="F19:H19" xr:uid="{00000000-0002-0000-0000-000008000000}">
      <formula1>IF(OR(F8="Refreshment Beverage",F8="Beer"),$W$6:$W$7,"")</formula1>
    </dataValidation>
    <dataValidation type="list" allowBlank="1" showInputMessage="1" showErrorMessage="1" sqref="F22:H22" xr:uid="{00000000-0002-0000-0000-000009000000}">
      <formula1>IF(F20="Canada",$X$6:$X$7,IF(OR(F20="USA",F20="International"),$Y$6,0))</formula1>
    </dataValidation>
    <dataValidation type="list" allowBlank="1" showInputMessage="1" showErrorMessage="1" sqref="F21:H21" xr:uid="{00000000-0002-0000-0000-00000A000000}">
      <formula1>IF($F$20="Canada",$AC$6:$AC$26,IF($F$20="USA",$AE$6:$AE$24,IF($F$20="International",$AG$6:$AG$36,"")))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258"/>
  <sheetViews>
    <sheetView zoomScale="90" zoomScaleNormal="90" workbookViewId="0">
      <selection activeCell="G10" sqref="G10"/>
    </sheetView>
  </sheetViews>
  <sheetFormatPr defaultRowHeight="15" x14ac:dyDescent="0.25"/>
  <cols>
    <col min="1" max="4" width="16.85546875" customWidth="1"/>
    <col min="7" max="11" width="14.85546875" bestFit="1" customWidth="1"/>
  </cols>
  <sheetData>
    <row r="2" spans="1:11" x14ac:dyDescent="0.25">
      <c r="A2" s="170" t="s">
        <v>762</v>
      </c>
      <c r="B2" s="171"/>
      <c r="C2" s="171"/>
      <c r="D2" s="172"/>
      <c r="G2" s="170" t="s">
        <v>716</v>
      </c>
      <c r="H2" s="171"/>
      <c r="I2" s="171"/>
      <c r="J2" s="171"/>
      <c r="K2" s="172"/>
    </row>
    <row r="3" spans="1:11" x14ac:dyDescent="0.25">
      <c r="A3" s="50" t="s">
        <v>746</v>
      </c>
      <c r="B3" s="51" t="s">
        <v>694</v>
      </c>
      <c r="C3" s="51" t="s">
        <v>747</v>
      </c>
      <c r="D3" s="52" t="s">
        <v>687</v>
      </c>
      <c r="G3" s="175" t="s">
        <v>746</v>
      </c>
      <c r="H3" s="173" t="s">
        <v>694</v>
      </c>
      <c r="I3" s="173" t="s">
        <v>747</v>
      </c>
      <c r="J3" s="173" t="s">
        <v>748</v>
      </c>
      <c r="K3" s="174" t="s">
        <v>749</v>
      </c>
    </row>
    <row r="4" spans="1:11" x14ac:dyDescent="0.25">
      <c r="A4" s="122">
        <f>IF(OR('Trial Pricing Calculator '!F22="",'Trial Pricing Calculator '!F22="Excise",'Trial Pricing Calculator '!F22="Duty Paid",'Trial Pricing Calculator '!G23="Yes",'Trial Pricing Calculator '!F20="Canada",'Trial Pricing Calculator '!F9="Tequila",'Trial Pricing Calculator '!F9="Brandy/Cognac",'Trial Pricing Calculator '!F9="Whisk(e)y"),0,IF('Trial Pricing Calculator '!F9="Gin",('Trial Pricing Calculator '!K18*('Trial Pricing Calculator '!K15/1000)*0.0492)*0.01,IF('Trial Pricing Calculator '!F9="Rum",('Trial Pricing Calculator '!K18*('Trial Pricing Calculator '!K15/1000)*0.2456)*0.01,IF('Trial Pricing Calculator '!F9="Vodka",('Trial Pricing Calculator '!K18*('Trial Pricing Calculator '!K15/1000)*0.1228)*0.01,IF('Trial Pricing Calculator '!F9="Liqueur",('Trial Pricing Calculator '!K18*('Trial Pricing Calculator '!K15/1000)*0.1228)*0.01,IF('Trial Pricing Calculator '!F9="Miscellaneous Spirit",('Trial Pricing Calculator '!K18*('Trial Pricing Calculator '!K15/1000)*0.1228)*0.01,0))))))</f>
        <v>0</v>
      </c>
      <c r="B4" s="123">
        <f>IF(OR('Trial Pricing Calculator '!F22="",'Trial Pricing Calculator '!F22="Excise",'Trial Pricing Calculator '!F22="Duty Paid",'Trial Pricing Calculator '!F9="Sake",'Trial Pricing Calculator '!G23="Yes",'Trial Pricing Calculator '!F9="Sparkling Wine",'Trial Pricing Calculator '!F17&gt;2,'Trial Pricing Calculator '!K15&gt;19.9),0,IF(AND('Trial Pricing Calculator '!K15&gt;14.9),0,IF(AND('Trial Pricing Calculator '!K15&gt;=7,'Trial Pricing Calculator '!K15&lt;13.8),'Trial Pricing Calculator '!F17*0.0187,IF(AND('Trial Pricing Calculator '!K15&gt;=13.9,'Trial Pricing Calculator '!K15&lt;14.9),'Trial Pricing Calculator '!F17*0.0468,IF('Trial Pricing Calculator '!K15&lt;7,'Trial Pricing Calculator '!F17*0.0187,IF('Trial Pricing Calculator '!K15&lt;15,'Trial Pricing Calculator '!F17*0.0468,0))))))</f>
        <v>0</v>
      </c>
      <c r="C4" s="124">
        <f>IF(OR('Trial Pricing Calculator '!F22="Excise",'Trial Pricing Calculator '!F22="Duty Paid",'Trial Pricing Calculator '!F22="",'Trial Pricing Calculator '!G23="Yes"),0,IF('Trial Pricing Calculator '!F9="Cider",'Trial Pricing Calculator '!K17*0.2816,('Trial Pricing Calculator '!K15*'Trial Pricing Calculator '!K17*0.1228)*0.01))</f>
        <v>0</v>
      </c>
      <c r="D4" s="49">
        <v>0</v>
      </c>
      <c r="G4" s="175"/>
      <c r="H4" s="173"/>
      <c r="I4" s="173"/>
      <c r="J4" s="173"/>
      <c r="K4" s="174"/>
    </row>
    <row r="5" spans="1:11" x14ac:dyDescent="0.25">
      <c r="A5" s="167" t="s">
        <v>761</v>
      </c>
      <c r="B5" s="168"/>
      <c r="C5" s="168"/>
      <c r="D5" s="169"/>
      <c r="G5" s="66">
        <f>IF((G10&lt;G13),G13,G10)</f>
        <v>0</v>
      </c>
      <c r="H5" s="66">
        <f>IF((H10&lt;H13),H13,H10)</f>
        <v>0</v>
      </c>
      <c r="I5" s="66">
        <f>IF(AND('Trial Pricing Calculator '!G18=1,I10&gt;I13),I10,IF(AND('Trial Pricing Calculator '!G18=1,I13&gt;I10),I13,IF(AND('Trial Pricing Calculator '!G18&gt;1,I16&gt;I18),I16,IF(AND('Trial Pricing Calculator '!G18&gt;1,I18&gt;I16),I18,0))))</f>
        <v>0</v>
      </c>
      <c r="J5" s="66">
        <f>IF(AND('Trial Pricing Calculator '!F19="Bottle",J13&gt;J10),J13,IF(AND('Trial Pricing Calculator '!F19="Bottle",J10&gt;J13),J10,IF(AND('Trial Pricing Calculator '!F19="Can",J18&gt;J16),J18,IF(AND('Trial Pricing Calculator '!F19="Can",J16&gt;J18),J16,0))))</f>
        <v>0</v>
      </c>
      <c r="K5" s="66">
        <f>IF(AND('Trial Pricing Calculator '!F19="Bottle",K13&gt;K10),K13,IF(AND('Trial Pricing Calculator '!F19="Bottle",K10&gt;K13),K10,IF(AND('Trial Pricing Calculator '!F19="Can",K18&gt;K16),K18,IF(AND('Trial Pricing Calculator '!F19="Can",K16&gt;K18),K16,0))))</f>
        <v>0</v>
      </c>
    </row>
    <row r="6" spans="1:11" x14ac:dyDescent="0.25">
      <c r="A6" s="50" t="s">
        <v>746</v>
      </c>
      <c r="B6" s="51" t="s">
        <v>694</v>
      </c>
      <c r="C6" s="51" t="s">
        <v>747</v>
      </c>
      <c r="D6" s="52" t="s">
        <v>687</v>
      </c>
      <c r="G6" s="34"/>
      <c r="H6" s="35"/>
      <c r="I6" s="35"/>
      <c r="J6" s="35"/>
      <c r="K6" s="36"/>
    </row>
    <row r="7" spans="1:11" x14ac:dyDescent="0.25">
      <c r="A7" s="43">
        <f>IFERROR(IF(OR('Trial Pricing Calculator '!F22="",'Trial Pricing Calculator '!F22="Duty Paid"),0,('Trial Pricing Calculator '!K17*'Trial Pricing Calculator '!K15*'Trial Pricing Calculator '!AJ7*'Trial Pricing Calculator '!K19)*0.01),"0.0000")</f>
        <v>0</v>
      </c>
      <c r="B7" s="53">
        <f>IFERROR(IF(OR('Trial Pricing Calculator '!F22="",'Trial Pricing Calculator '!F22="Duty Paid"),0,IF('Trial Pricing Calculator '!K15&lt;=7,'Trial Pricing Calculator '!F17*'Trial Pricing Calculator '!AJ10*'Trial Pricing Calculator '!K19,'Trial Pricing Calculator '!F17*'Trial Pricing Calculator '!AJ9*'Trial Pricing Calculator '!K19)),0)</f>
        <v>0</v>
      </c>
      <c r="C7" s="48">
        <f>IF(OR('Trial Pricing Calculator '!F22="Duty Paid",'Trial Pricing Calculator '!F22=""),0,IF(AND('Trial Pricing Calculator '!F9="Spirit Cooler",'Trial Pricing Calculator '!K15&gt;7),(('Trial Pricing Calculator '!K17)*'Trial Pricing Calculator '!AJ7)*0.01,IF(AND('Trial Pricing Calculator '!F9="Spirit Cooler",'Trial Pricing Calculator '!K15&lt;=7),(('Trial Pricing Calculator '!K17)*'Trial Pricing Calculator '!AJ8),IF(AND('Trial Pricing Calculator '!F9="Wine Cooler",'Trial Pricing Calculator '!K15&gt;7),(('Trial Pricing Calculator '!K17)*'Trial Pricing Calculator '!AJ9),IF(AND('Trial Pricing Calculator '!F9="Wine Cooler",'Trial Pricing Calculator '!K15&lt;=7),(('Trial Pricing Calculator '!K17)*'Trial Pricing Calculator '!AJ10),IF(AND('Trial Pricing Calculator '!F9="Cider",'Trial Pricing Calculator '!K15&gt;7),(('Trial Pricing Calculator '!K17)*'Trial Pricing Calculator '!AJ9),IF(AND('Trial Pricing Calculator '!F9="Cider",'Trial Pricing Calculator '!K15&lt;=7),(('Trial Pricing Calculator '!K17)*'Trial Pricing Calculator '!AJ10),IF(AND('Trial Pricing Calculator '!F9="Malt Based Cooler",'Trial Pricing Calculator '!F22="Customs"),'Trial Pricing Calculator '!K17*'Trial Pricing Calculator '!AJ6,0))))))))</f>
        <v>0</v>
      </c>
      <c r="D7" s="49">
        <f>IFERROR(IF('Trial Pricing Calculator '!F22="Customs",'Trial Pricing Calculator '!K17*'Trial Pricing Calculator '!AJ6,0),"0.0000")</f>
        <v>0</v>
      </c>
      <c r="G7" s="34"/>
      <c r="H7" s="35"/>
      <c r="I7" s="35"/>
      <c r="J7" s="35"/>
      <c r="K7" s="36"/>
    </row>
    <row r="8" spans="1:11" x14ac:dyDescent="0.25">
      <c r="A8" s="167" t="s">
        <v>716</v>
      </c>
      <c r="B8" s="168"/>
      <c r="C8" s="168"/>
      <c r="D8" s="169"/>
      <c r="G8" s="34"/>
      <c r="H8" s="35"/>
      <c r="I8" s="35" t="s">
        <v>783</v>
      </c>
      <c r="J8" s="35" t="s">
        <v>784</v>
      </c>
      <c r="K8" s="36" t="s">
        <v>784</v>
      </c>
    </row>
    <row r="9" spans="1:11" x14ac:dyDescent="0.25">
      <c r="A9" s="71" t="s">
        <v>746</v>
      </c>
      <c r="B9" s="72" t="s">
        <v>694</v>
      </c>
      <c r="C9" s="72" t="s">
        <v>747</v>
      </c>
      <c r="D9" s="73" t="s">
        <v>687</v>
      </c>
      <c r="G9" s="60" t="s">
        <v>791</v>
      </c>
      <c r="H9" s="61" t="s">
        <v>791</v>
      </c>
      <c r="I9" s="61" t="s">
        <v>791</v>
      </c>
      <c r="J9" s="61" t="s">
        <v>791</v>
      </c>
      <c r="K9" s="62" t="s">
        <v>791</v>
      </c>
    </row>
    <row r="10" spans="1:11" x14ac:dyDescent="0.25">
      <c r="A10" s="69">
        <f>G5</f>
        <v>0</v>
      </c>
      <c r="B10" s="56">
        <f t="shared" ref="B10:C10" si="0">H5</f>
        <v>0</v>
      </c>
      <c r="C10" s="70">
        <f t="shared" si="0"/>
        <v>0</v>
      </c>
      <c r="D10" s="78">
        <f>IF('Trial Pricing Calculator '!G18&gt;1,K5,J5)</f>
        <v>0</v>
      </c>
      <c r="G10" s="68">
        <f>IFERROR(IF(AND('Trial Pricing Calculator '!F10="Yes",'Trial Pricing Calculator '!F11=1),(SUM('Trial Pricing Calculator '!F29:H33)*0.5),IF(AND('Trial Pricing Calculator '!F10="Yes",'Trial Pricing Calculator '!F11=2),(SUM('Trial Pricing Calculator '!F29:H33)*0.75),IF(AND('Trial Pricing Calculator '!F10="Yes",'Trial Pricing Calculator '!F11=3),(SUM('Trial Pricing Calculator '!F29:H33)*1),IF(AND('Trial Pricing Calculator '!F10="Yes",'Trial Pricing Calculator '!F11=4),(SUM('Trial Pricing Calculator '!F29:H33)*1.25),(SUM('Trial Pricing Calculator '!F29:H33)*1.53))))),0)</f>
        <v>0</v>
      </c>
      <c r="H10" s="68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I10" s="68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J10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0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1" spans="1:11" x14ac:dyDescent="0.25">
      <c r="A11" s="167" t="s">
        <v>10</v>
      </c>
      <c r="B11" s="168"/>
      <c r="C11" s="168"/>
      <c r="D11" s="169"/>
      <c r="G11" s="63"/>
      <c r="H11" s="64"/>
      <c r="I11" s="64"/>
      <c r="J11" s="64"/>
      <c r="K11" s="65"/>
    </row>
    <row r="12" spans="1:11" x14ac:dyDescent="0.25">
      <c r="A12" s="50" t="s">
        <v>746</v>
      </c>
      <c r="B12" s="51" t="s">
        <v>694</v>
      </c>
      <c r="C12" s="51" t="s">
        <v>747</v>
      </c>
      <c r="D12" s="52" t="s">
        <v>687</v>
      </c>
      <c r="G12" s="60" t="s">
        <v>5</v>
      </c>
      <c r="H12" s="61" t="s">
        <v>5</v>
      </c>
      <c r="I12" s="61" t="s">
        <v>5</v>
      </c>
      <c r="J12" s="61" t="s">
        <v>5</v>
      </c>
      <c r="K12" s="62" t="s">
        <v>5</v>
      </c>
    </row>
    <row r="13" spans="1:11" x14ac:dyDescent="0.25">
      <c r="A13" s="43">
        <f>IF(AND('Trial Pricing Calculator '!F10="Yes",OR('Trial Pricing Calculator '!F11=1,'Trial Pricing Calculator '!F11=2,'Trial Pricing Calculator '!F11=3)),('Trial Pricing Calculator '!K17*0.27),IF(AND('Trial Pricing Calculator '!F10="Yes",'Trial Pricing Calculator '!F11=4),'Trial Pricing Calculator '!K17*0.89,('Trial Pricing Calculator '!K17*1.124)))</f>
        <v>0</v>
      </c>
      <c r="B13" s="53">
        <f>IF(AND('Trial Pricing Calculator '!F10="Yes",OR('Trial Pricing Calculator '!F11=1,'Trial Pricing Calculator '!F11=2,'Trial Pricing Calculator '!F11=3)),('Trial Pricing Calculator '!K17*0.43),IF(AND('Trial Pricing Calculator '!F10="Yes",'Trial Pricing Calculator '!F11=4),'Trial Pricing Calculator '!K17*1.3833,('Trial Pricing Calculator '!K17*1.7401)))</f>
        <v>0</v>
      </c>
      <c r="C13" s="48">
        <f>IF(AND('Trial Pricing Calculator '!F10="Yes",OR('Trial Pricing Calculator '!F11=1,'Trial Pricing Calculator '!F11=2,'Trial Pricing Calculator '!F11=3)),('Trial Pricing Calculator '!K17*0.21),IF(AND('Trial Pricing Calculator '!F10="Yes",'Trial Pricing Calculator '!F11=4),'Trial Pricing Calculator '!K17*0.69,('Trial Pricing Calculator '!K17*0.8511)))</f>
        <v>0</v>
      </c>
      <c r="D13" s="54">
        <f>IF(AND('Trial Pricing Calculator '!F10="Yes",OR('Trial Pricing Calculator '!F11=1,'Trial Pricing Calculator '!F11=2,'Trial Pricing Calculator '!F11=3)),('Trial Pricing Calculator '!K17*0.107),IF(AND('Trial Pricing Calculator '!F10="Yes",'Trial Pricing Calculator '!F11=4),'Trial Pricing Calculator '!K17*0.3013,('Trial Pricing Calculator '!K17*0.4179)))</f>
        <v>0</v>
      </c>
      <c r="G13" s="68">
        <f>IFERROR(IF(AND('Trial Pricing Calculator '!F10="Yes",OR('Trial Pricing Calculator '!F11=1,'Trial Pricing Calculator '!F11=2,'Trial Pricing Calculator '!F11=3)),VLOOKUP('Trial Pricing Calculator '!F11,'Spirit Min. Markup'!L:N,3,0)*'Trial Pricing Calculator '!K17,(VLOOKUP('Trial Pricing Calculator '!F17,'Spirit Min. Markup'!B:E,4,0))),0)</f>
        <v>0</v>
      </c>
      <c r="H13" s="68">
        <f>IFERROR(IF(AND('Trial Pricing Calculator '!F10="Yes",OR('Trial Pricing Calculator '!F11=1,'Trial Pricing Calculator '!F11=2,'Trial Pricing Calculator '!F11=3)),VLOOKUP('Trial Pricing Calculator '!F11,'Wine Min. Markup'!L:N,3,0)*'Trial Pricing Calculator '!K17,(VLOOKUP('Trial Pricing Calculator '!F17,'Wine Min. Markup'!B:E,4,0))),0)</f>
        <v>0</v>
      </c>
      <c r="I13" s="68">
        <f>IFERROR(IF(AND('Trial Pricing Calculator '!F10="Yes",OR('Trial Pricing Calculator '!F11=1,'Trial Pricing Calculator '!F11=2,'Trial Pricing Calculator '!F11=3)),VLOOKUP('Trial Pricing Calculator '!F11,'Ref. Bev. Min. Markup'!X:Z,3,0)*'Trial Pricing Calculator '!K17,IF('Trial Pricing Calculator '!G18=1,VLOOKUP('Trial Pricing Calculator '!K17,'Ref. Bev. Min. Markup'!B:E,4,0),0)),0)</f>
        <v>0</v>
      </c>
      <c r="J13" s="68">
        <f>IFERROR(IF(AND('Trial Pricing Calculator '!F10="Yes",'Trial Pricing Calculator '!F19="Bottle",OR('Trial Pricing Calculator '!F11=1,'Trial Pricing Calculator '!F11=2,'Trial Pricing Calculator '!F11=3)),'Trial Pricing Calculator '!K17*VLOOKUP('Trial Pricing Calculator '!F11,'Beer Min. Markup'!BK:BM,3,0),IF(AND('Trial Pricing Calculator '!F19="Bottle",'Trial Pricing Calculator '!G18=1),VLOOKUP('Trial Pricing Calculator '!K17,'Beer Min. Markup'!N:Q,4,0),0)),0)</f>
        <v>0</v>
      </c>
      <c r="K13" s="67">
        <f>IFERROR(IF(AND('Trial Pricing Calculator '!F10="Yes",'Trial Pricing Calculator '!F19="Bottle",'Trial Pricing Calculator '!G18&gt;1,OR('Trial Pricing Calculator '!F11=1,'Trial Pricing Calculator '!F11=2,'Trial Pricing Calculator '!F11=3)),'Trial Pricing Calculator '!K17*VLOOKUP('Trial Pricing Calculator '!F11,'Beer Min. Markup'!BK:BM,3,0),VLOOKUP('Trial Pricing Calculator '!K17,'Beer Min. Markup'!AL:AP,5,0)),0)</f>
        <v>0</v>
      </c>
    </row>
    <row r="14" spans="1:11" x14ac:dyDescent="0.25">
      <c r="A14" s="167" t="s">
        <v>853</v>
      </c>
      <c r="B14" s="168"/>
      <c r="C14" s="168"/>
      <c r="D14" s="169"/>
      <c r="G14" s="63"/>
      <c r="H14" s="64"/>
      <c r="I14" s="64" t="s">
        <v>224</v>
      </c>
      <c r="J14" s="64" t="s">
        <v>811</v>
      </c>
      <c r="K14" s="65" t="s">
        <v>811</v>
      </c>
    </row>
    <row r="15" spans="1:11" x14ac:dyDescent="0.25">
      <c r="A15" s="50" t="s">
        <v>746</v>
      </c>
      <c r="B15" s="51" t="s">
        <v>694</v>
      </c>
      <c r="C15" s="51" t="s">
        <v>747</v>
      </c>
      <c r="D15" s="52" t="s">
        <v>687</v>
      </c>
      <c r="G15" s="63"/>
      <c r="H15" s="64"/>
      <c r="I15" s="61" t="s">
        <v>791</v>
      </c>
      <c r="J15" s="61" t="s">
        <v>791</v>
      </c>
      <c r="K15" s="62" t="s">
        <v>791</v>
      </c>
    </row>
    <row r="16" spans="1:11" x14ac:dyDescent="0.25">
      <c r="A16" s="43">
        <f>IF('Trial Pricing Calculator '!F20="Canada",0,IF('Trial Pricing Calculator '!F20="USA",IF('Trial Pricing Calculator '!F9="Liqueur",'Trial Pricing Calculator '!K17*0.31,'Trial Pricing Calculator '!K17*0.38),IF('Trial Pricing Calculator '!F9="Liqueur",'Trial Pricing Calculator '!K17*0.68,'Trial Pricing Calculator '!K17*0.65)))</f>
        <v>0</v>
      </c>
      <c r="B16" s="53">
        <f>IF('Trial Pricing Calculator '!F20="Canada",0,IF('Trial Pricing Calculator '!F20="USA",'Trial Pricing Calculator '!K17*0.15,'Trial Pricing Calculator '!K17*0.44))</f>
        <v>0</v>
      </c>
      <c r="C16" s="48">
        <f>IF('Trial Pricing Calculator '!F20="Canada",0,IF('Trial Pricing Calculator '!F20="USA",'Trial Pricing Calculator '!K17*0.22,'Trial Pricing Calculator '!K17*0.41))</f>
        <v>0</v>
      </c>
      <c r="D16" s="54">
        <f>IF('Trial Pricing Calculator '!F20="Canada",0,IF('Trial Pricing Calculator '!F20="USA",'Trial Pricing Calculator '!K17*0.57,'Trial Pricing Calculator '!K17*0.64))</f>
        <v>0</v>
      </c>
      <c r="G16" s="63"/>
      <c r="H16" s="64"/>
      <c r="I16" s="68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J16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6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7" spans="1:11" x14ac:dyDescent="0.25">
      <c r="A17" s="167" t="s">
        <v>854</v>
      </c>
      <c r="B17" s="168"/>
      <c r="C17" s="168"/>
      <c r="D17" s="169"/>
      <c r="G17" s="63"/>
      <c r="H17" s="64"/>
      <c r="I17" s="61" t="s">
        <v>5</v>
      </c>
      <c r="J17" s="61" t="s">
        <v>5</v>
      </c>
      <c r="K17" s="62" t="s">
        <v>5</v>
      </c>
    </row>
    <row r="18" spans="1:11" x14ac:dyDescent="0.25">
      <c r="A18" s="50" t="s">
        <v>746</v>
      </c>
      <c r="B18" s="51" t="s">
        <v>694</v>
      </c>
      <c r="C18" s="51" t="s">
        <v>747</v>
      </c>
      <c r="D18" s="52" t="s">
        <v>687</v>
      </c>
      <c r="G18" s="34"/>
      <c r="H18" s="35"/>
      <c r="I18" s="68">
        <f>IFERROR(IF(AND('Trial Pricing Calculator '!F10="Yes",OR('Trial Pricing Calculator '!F11=1,'Trial Pricing Calculator '!F11=2,'Trial Pricing Calculator '!F11=3)),VLOOKUP('Trial Pricing Calculator '!F11,'Ref. Bev. Min. Markup'!X:Z,3,0)*'Trial Pricing Calculator '!K17,IF('Trial Pricing Calculator '!G18&gt;1,VLOOKUP('Trial Pricing Calculator '!K17,'Ref. Bev. Min. Markup'!O:Q,3,0),0)),0)</f>
        <v>0</v>
      </c>
      <c r="J18" s="67">
        <f>IFERROR(IF(AND('Trial Pricing Calculator '!F10="Yes",'Trial Pricing Calculator '!F19="Can",'Trial Pricing Calculator '!G18=1,OR('Trial Pricing Calculator '!F11=1,'Trial Pricing Calculator '!F11=2,'Trial Pricing Calculator '!F11=3)),'Trial Pricing Calculator '!K17*VLOOKUP('Trial Pricing Calculator '!F11,'Beer Min. Markup'!BK:BM,3,0),VLOOKUP('Trial Pricing Calculator '!K17,'Beer Min. Markup'!N:Q,4,0)),0)</f>
        <v>0</v>
      </c>
      <c r="K18" s="67">
        <f>IFERROR(IF(AND('Trial Pricing Calculator '!F10="Yes",'Trial Pricing Calculator '!F19="Can",'Trial Pricing Calculator '!G18&gt;1,OR('Trial Pricing Calculator '!F11=1,'Trial Pricing Calculator '!F11=2,'Trial Pricing Calculator '!F11=3)),'Trial Pricing Calculator '!K17*VLOOKUP('Trial Pricing Calculator '!F11,'Beer Min. Markup'!BK:BM,3,0),VLOOKUP('Trial Pricing Calculator '!K17,'Beer Min. Markup'!AY:BC,5,0)),0)</f>
        <v>0</v>
      </c>
    </row>
    <row r="19" spans="1:11" x14ac:dyDescent="0.25">
      <c r="A19" s="43">
        <f>IF('Trial Pricing Calculator '!F17=0.05,0.2046*'Trial Pricing Calculator '!K19,IF('Trial Pricing Calculator '!F17=0.2,0.3069*'Trial Pricing Calculator '!K19,IF('Trial Pricing Calculator '!F17=0.375,0.4092*'Trial Pricing Calculator '!K19,IF('Trial Pricing Calculator '!F17=1.14,0.2558*'Trial Pricing Calculator '!K19,IF('Trial Pricing Calculator '!F17=1.75,0.3069*'Trial Pricing Calculator '!K19,0)))))</f>
        <v>0</v>
      </c>
      <c r="B19" s="56">
        <f>IF('Trial Pricing Calculator '!F17&lt;0.75,0,IF(OR('Trial Pricing Calculator '!F17=0.75,'Trial Pricing Calculator '!F17=1),0.2558,IF('Trial Pricing Calculator '!F17=1.5,0.5933,IF('Trial Pricing Calculator '!F17=2,0.665,IF('Trial Pricing Calculator '!F17=3,0.7161,IF(OR('Trial Pricing Calculator '!F17=4,'Trial Pricing Calculator '!F17=5,'Trial Pricing Calculator '!F17=6),1.1969,IF(OR('Trial Pricing Calculator '!F17=7,'Trial Pricing Calculator '!F17=8,'Trial Pricing Calculator '!F17=9,'Trial Pricing Calculator '!F17=10),1.555,IF('Trial Pricing Calculator '!F17=19.5,7.0792,IF('Trial Pricing Calculator '!F17=15,5.4526,IF('Trial Pricing Calculator '!F17=16,5.8209,IF('Trial Pricing Calculator '!F17=18,6.5472,IF('Trial Pricing Calculator '!F17=19,6.9053,IF('Trial Pricing Calculator '!F17=20,7.2735,IF('Trial Pricing Calculator '!F17=22,7.9999,0))))))))))))))</f>
        <v>0</v>
      </c>
      <c r="C19" s="48">
        <f>IF(AND('Trial Pricing Calculator '!F17&gt;0.049,'Trial Pricing Calculator '!F17&lt;0.401),SUM(0.0512*'Trial Pricing Calculator '!G18),IF(AND('Trial Pricing Calculator '!F17&gt;0.4,'Trial Pricing Calculator '!F17&lt;0.47),SUM(0.0614*'Trial Pricing Calculator '!G18),IF(AND('Trial Pricing Calculator '!F17&gt;0.469,'Trial Pricing Calculator '!F17&lt;0.66),SUM(0.0716*'Trial Pricing Calculator '!G18),IF(AND('Trial Pricing Calculator '!F17&gt;0.659,'Trial Pricing Calculator '!F17&lt;0.75),SUM(0.1023*'Trial Pricing Calculator '!G18),IF(AND('Trial Pricing Calculator '!F17&gt;0.749,'Trial Pricing Calculator '!F17&lt;0.9),SUM(0.1125*'Trial Pricing Calculator '!G18),IF(AND('Trial Pricing Calculator '!F17&gt;0.899,'Trial Pricing Calculator '!F17&lt;1),SUM(0.133*'Trial Pricing Calculator '!G18),IF('Trial Pricing Calculator '!F17=1,SUM(0.1432*'Trial Pricing Calculator '!G18),IF('Trial Pricing Calculator '!F17=1.14,SUM(0.1637*'Trial Pricing Calculator '!G18),IF('Trial Pricing Calculator '!F17=1.75,SUM(0.2558*'Trial Pricing Calculator '!G18),IF('Trial Pricing Calculator '!F17=2,SUM(0.2864*'Trial Pricing Calculator '!G18),IF('Trial Pricing Calculator '!F17=3,SUM(0.4297*'Trial Pricing Calculator '!G18),0)))))))))))</f>
        <v>0</v>
      </c>
      <c r="D19" s="55">
        <f>IF(AND('Trial Pricing Calculator '!G18=24,'Trial Pricing Calculator '!F19="Bottle"),0.37,IF(AND('Trial Pricing Calculator '!G18=8,'Trial Pricing Calculator '!F19="Can"),0.15,IF(AND('Trial Pricing Calculator '!G18=15,'Trial Pricing Calculator '!F19="Can"),0.14,IF(AND('Trial Pricing Calculator '!G18=20,'Trial Pricing Calculator '!F19="Can"),0.2,IF(AND('Trial Pricing Calculator '!G18=30,'Trial Pricing Calculator '!F19="Can"),0.26,IF(AND('Trial Pricing Calculator '!G18=36,'Trial Pricing Calculator '!F19="Can"),0.26,0))))))</f>
        <v>0</v>
      </c>
      <c r="G19" s="34"/>
      <c r="H19" s="35"/>
      <c r="I19" s="35"/>
      <c r="J19" s="35"/>
      <c r="K19" s="36"/>
    </row>
    <row r="20" spans="1:11" x14ac:dyDescent="0.25">
      <c r="G20" s="34"/>
      <c r="H20" s="35"/>
      <c r="I20" s="35"/>
      <c r="J20" s="35"/>
      <c r="K20" s="36"/>
    </row>
    <row r="21" spans="1:11" x14ac:dyDescent="0.25">
      <c r="G21" s="42" t="s">
        <v>832</v>
      </c>
      <c r="H21" s="41" t="s">
        <v>832</v>
      </c>
      <c r="I21" s="41" t="s">
        <v>832</v>
      </c>
      <c r="J21" s="41" t="s">
        <v>832</v>
      </c>
      <c r="K21" s="44" t="s">
        <v>833</v>
      </c>
    </row>
    <row r="22" spans="1:11" x14ac:dyDescent="0.25">
      <c r="G22" s="67">
        <f>IF(AND('Trial Pricing Calculator '!F8="Spirit",'Trial Pricing Calculator '!K18&lt;100),SUM('Trial Pricing Calculator '!K17*'Trial Pricing Calculator '!F15*SRP!E4),IF(AND('Trial Pricing Calculator '!F8="Spirit",'Trial Pricing Calculator '!K18&gt;=100,'Trial Pricing Calculator '!K18&lt;300),SUM('Trial Pricing Calculator '!K17*'Trial Pricing Calculator '!F15*SRP!E5),IF(AND('Trial Pricing Calculator '!F8="Spirit",'Trial Pricing Calculator '!K18&gt;=300,'Trial Pricing Calculator '!K18&lt;400),SUM('Trial Pricing Calculator '!K17*'Trial Pricing Calculator '!F15*SRP!E6),IF(AND('Trial Pricing Calculator '!F8="Spirit",'Trial Pricing Calculator '!K18&gt;=400,'Trial Pricing Calculator '!K18&lt;=700),SUM('Trial Pricing Calculator '!K17*'Trial Pricing Calculator '!F15*SRP!E7),IF(AND('Trial Pricing Calculator '!F8="Spirit",'Trial Pricing Calculator '!K18&gt;=701),SUM('Trial Pricing Calculator '!K17*'Trial Pricing Calculator '!F15*SRP!E8),0)))))</f>
        <v>0</v>
      </c>
      <c r="H22" s="68">
        <f>IF(AND('Trial Pricing Calculator '!F8="Wine",'Trial Pricing Calculator '!F9="Fortified Wine",'Trial Pricing Calculator '!K18&lt;100),SUM('Trial Pricing Calculator '!K17*'Trial Pricing Calculator '!F15*SRP!E22),IF(AND('Trial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'!K18&gt;=375,'Trial Pricing Calculator '!K18&lt;=700),SUM('Trial Pricing Calculator '!K17*'Trial Pricing Calculator '!F15*SRP!E24),IF(AND('Trial Pricing Calculator '!F8="Wine",'Trial Pricing Calculator '!F9="Fortified Wine",'Trial Pricing Calculator '!K18&gt;=701),SUM('Trial Pricing Calculator '!K17*'Trial Pricing Calculator '!F15*SRP!E25),IF(AND('Trial Pricing Calculator '!F8="Wine",'Trial Pricing Calculator '!K18&lt;100),SUM('Trial Pricing Calculator '!K17*'Trial Pricing Calculator '!F15*SRP!E17),IF(AND('Trial Pricing Calculator '!F8="Wine",'Trial Pricing Calculator '!K18&gt;=100,'Trial Pricing Calculator '!K18&lt;375),SUM('Trial Pricing Calculator '!K17*'Trial Pricing Calculator '!F15*SRP!E18),IF(AND('Trial Pricing Calculator '!F8="Wine",'Trial Pricing Calculator '!K18&gt;=375,'Trial Pricing Calculator '!K18&lt;700),SUM('Trial Pricing Calculator '!K17*'Trial Pricing Calculator '!F15*SRP!E19),IF(AND('Trial Pricing Calculator '!F8="Wine",'Trial Pricing Calculator '!K18&gt;=700,'Trial Pricing Calculator '!K18&lt;=4000),SUM('Trial Pricing Calculator '!K17*'Trial Pricing Calculator '!F15*SRP!E20),IF(AND('Trial Pricing Calculator '!F8="Wine",'Trial Pricing Calculator '!K18&gt;=4001),SUM('Trial Pricing Calculator '!K17*'Trial Pricing Calculator '!F15*SRP!E21),0))))))))))</f>
        <v>0</v>
      </c>
      <c r="I22" s="67">
        <f>IF(AND('Trial Pricing Calculator '!F8="Refreshment Beverage",'Trial Pricing Calculator '!K18&lt;100),SUM('Trial Pricing Calculator '!K17*'Trial Pricing Calculator '!F15*SRP!E12),IF(AND('Trial Pricing Calculator '!F8="Refreshment Beverage",'Trial Pricing Calculator '!K18&gt;=100,'Trial Pricing Calculator '!K18&lt;250),SUM('Trial Pricing Calculator '!K17*'Trial Pricing Calculator '!F15*SRP!E13),IF(AND('Trial Pricing Calculator '!F8="Refreshment Beverage",'Trial Pricing Calculator '!K18&gt;=250,'Trial Pricing Calculator '!K18&lt;400),SUM('Trial Pricing Calculator '!K17*'Trial Pricing Calculator '!F15*SRP!E14),IF(AND('Trial Pricing Calculator '!F8="Refreshment Beverage",'Trial Pricing Calculator '!K18&gt;=400,'Trial Pricing Calculator '!K18&lt;=700),SUM('Trial Pricing Calculator '!K17*'Trial Pricing Calculator '!F15*SRP!E15),IF(AND('Trial Pricing Calculator '!F8="Refreshment Beverage",'Trial Pricing Calculator '!K18&gt;=701),SUM('Trial Pricing Calculator '!K17*'Trial Pricing Calculator '!F15*SRP!E16),0)))))</f>
        <v>0</v>
      </c>
      <c r="J22" s="67">
        <f>IF(AND('Trial Pricing Calculator '!F8="Beer",'Trial Pricing Calculator '!K18&lt;10000),SUM('Trial Pricing Calculator '!K17*'Trial Pricing Calculator '!F15*SRP!E9),IF(AND('Trial Pricing Calculator '!F8="Beer",'Trial Pricing Calculator '!K18&gt;=10000,'Trial Pricing Calculator '!K18&lt;20000),SUM('Trial Pricing Calculator '!K17*'Trial Pricing Calculator '!F15*SRP!E10),IF(AND('Trial Pricing Calculator '!F8="Beer",'Trial Pricing Calculator '!K18&lt;20000),SUM('Trial Pricing Calculator '!K17*'Trial Pricing Calculator '!F15*SRP!E11),0)))</f>
        <v>0</v>
      </c>
      <c r="K22" s="67">
        <f>IF('Trial Pricing Calculator '!K15&gt;5.5,SUM('Trial Pricing Calculator '!K17*('Trial Pricing Calculator '!K15/100)*66.085),0)</f>
        <v>0</v>
      </c>
    </row>
    <row r="23" spans="1:11" x14ac:dyDescent="0.25">
      <c r="G23" s="58"/>
      <c r="H23" s="35"/>
      <c r="I23" s="57"/>
      <c r="J23" s="35"/>
      <c r="K23" s="59"/>
    </row>
    <row r="24" spans="1:11" x14ac:dyDescent="0.25">
      <c r="G24" s="34"/>
      <c r="H24" s="35"/>
      <c r="I24" s="35"/>
      <c r="J24" s="41" t="s">
        <v>841</v>
      </c>
      <c r="K24" s="62" t="s">
        <v>842</v>
      </c>
    </row>
    <row r="25" spans="1:11" x14ac:dyDescent="0.25">
      <c r="G25" s="34"/>
      <c r="H25" s="35"/>
      <c r="I25" s="35"/>
      <c r="J25" s="45" t="s">
        <v>418</v>
      </c>
      <c r="K25" s="67">
        <f>IF('Trial Pricing Calculator '!F11=1,10,IF('Trial Pricing Calculator '!F11=2,15,IF('Trial Pricing Calculator '!F11=3,24,IF('Trial Pricing Calculator '!F11=4,36,49))))</f>
        <v>49</v>
      </c>
    </row>
    <row r="26" spans="1:11" x14ac:dyDescent="0.25">
      <c r="G26" s="34"/>
      <c r="H26" s="35"/>
      <c r="I26" s="35"/>
      <c r="J26" s="46">
        <v>1.1000000000000001</v>
      </c>
      <c r="K26" s="36"/>
    </row>
    <row r="27" spans="1:11" x14ac:dyDescent="0.25">
      <c r="G27" s="34"/>
      <c r="H27" s="35"/>
      <c r="I27" s="35"/>
      <c r="J27" s="47" t="s">
        <v>421</v>
      </c>
      <c r="K27" s="36"/>
    </row>
    <row r="28" spans="1:11" x14ac:dyDescent="0.25">
      <c r="G28" s="34"/>
      <c r="H28" s="35"/>
      <c r="I28" s="35"/>
      <c r="J28" s="46">
        <v>1.68</v>
      </c>
      <c r="K28" s="36"/>
    </row>
    <row r="29" spans="1:11" x14ac:dyDescent="0.25">
      <c r="G29" s="34"/>
      <c r="H29" s="35"/>
      <c r="I29" s="35"/>
      <c r="J29" s="35"/>
      <c r="K29" s="36"/>
    </row>
    <row r="30" spans="1:11" x14ac:dyDescent="0.25">
      <c r="G30" s="34"/>
      <c r="H30" s="35"/>
      <c r="I30" s="35"/>
      <c r="J30" s="35"/>
      <c r="K30" s="36"/>
    </row>
    <row r="31" spans="1:11" x14ac:dyDescent="0.25">
      <c r="G31" s="34"/>
      <c r="H31" s="35"/>
      <c r="I31" s="35"/>
      <c r="J31" s="35"/>
      <c r="K31" s="36"/>
    </row>
    <row r="32" spans="1:11" x14ac:dyDescent="0.25">
      <c r="G32" s="34"/>
      <c r="H32" s="35"/>
      <c r="I32" s="35"/>
      <c r="J32" s="35"/>
      <c r="K32" s="36"/>
    </row>
    <row r="33" spans="7:11" x14ac:dyDescent="0.25">
      <c r="G33" s="34"/>
      <c r="H33" s="35"/>
      <c r="I33" s="35"/>
      <c r="J33" s="35"/>
      <c r="K33" s="36"/>
    </row>
    <row r="34" spans="7:11" x14ac:dyDescent="0.25">
      <c r="G34" s="34"/>
      <c r="H34" s="35"/>
      <c r="I34" s="35"/>
      <c r="J34" s="35"/>
      <c r="K34" s="36"/>
    </row>
    <row r="35" spans="7:11" x14ac:dyDescent="0.25">
      <c r="G35" s="39"/>
      <c r="H35" s="48"/>
      <c r="I35" s="48"/>
      <c r="J35" s="48"/>
      <c r="K35" s="49"/>
    </row>
    <row r="36" spans="7:11" x14ac:dyDescent="0.25">
      <c r="G36" s="40"/>
      <c r="H36" s="40"/>
      <c r="I36" s="40"/>
      <c r="J36" s="40"/>
      <c r="K36" s="40"/>
    </row>
    <row r="37" spans="7:11" x14ac:dyDescent="0.25">
      <c r="G37" s="40"/>
      <c r="H37" s="40"/>
      <c r="I37" s="40"/>
      <c r="J37" s="40"/>
      <c r="K37" s="40"/>
    </row>
    <row r="38" spans="7:11" x14ac:dyDescent="0.25">
      <c r="G38" s="40"/>
      <c r="H38" s="40"/>
      <c r="I38" s="40"/>
      <c r="J38" s="40"/>
      <c r="K38" s="40"/>
    </row>
    <row r="39" spans="7:11" x14ac:dyDescent="0.25">
      <c r="G39" s="40"/>
      <c r="H39" s="40"/>
      <c r="I39" s="40"/>
      <c r="J39" s="40"/>
      <c r="K39" s="40"/>
    </row>
    <row r="40" spans="7:11" x14ac:dyDescent="0.25">
      <c r="G40" s="40"/>
      <c r="H40" s="40"/>
      <c r="I40" s="40"/>
      <c r="J40" s="40"/>
      <c r="K40" s="40"/>
    </row>
    <row r="41" spans="7:11" x14ac:dyDescent="0.25">
      <c r="G41" s="40"/>
      <c r="H41" s="40"/>
      <c r="I41" s="40"/>
      <c r="J41" s="40"/>
      <c r="K41" s="40"/>
    </row>
    <row r="42" spans="7:11" x14ac:dyDescent="0.25">
      <c r="G42" s="40"/>
      <c r="H42" s="40"/>
      <c r="I42" s="40"/>
      <c r="J42" s="40"/>
      <c r="K42" s="40"/>
    </row>
    <row r="43" spans="7:11" x14ac:dyDescent="0.25">
      <c r="G43" s="40"/>
      <c r="H43" s="40"/>
      <c r="I43" s="40"/>
      <c r="J43" s="40"/>
      <c r="K43" s="40"/>
    </row>
    <row r="44" spans="7:11" x14ac:dyDescent="0.25">
      <c r="G44" s="40"/>
      <c r="H44" s="40"/>
      <c r="I44" s="40"/>
      <c r="J44" s="40"/>
      <c r="K44" s="40"/>
    </row>
    <row r="45" spans="7:11" x14ac:dyDescent="0.25">
      <c r="G45" s="40"/>
      <c r="H45" s="40"/>
      <c r="I45" s="40"/>
      <c r="J45" s="40"/>
      <c r="K45" s="40"/>
    </row>
    <row r="46" spans="7:11" x14ac:dyDescent="0.25">
      <c r="G46" s="40"/>
      <c r="H46" s="40"/>
      <c r="I46" s="40"/>
      <c r="J46" s="40"/>
      <c r="K46" s="40"/>
    </row>
    <row r="47" spans="7:11" x14ac:dyDescent="0.25">
      <c r="G47" s="40"/>
      <c r="H47" s="40"/>
      <c r="I47" s="40"/>
      <c r="J47" s="40"/>
      <c r="K47" s="40"/>
    </row>
    <row r="48" spans="7:11" x14ac:dyDescent="0.25">
      <c r="G48" s="40"/>
      <c r="H48" s="40"/>
      <c r="I48" s="40"/>
      <c r="J48" s="40"/>
      <c r="K48" s="40"/>
    </row>
    <row r="49" spans="7:11" x14ac:dyDescent="0.25">
      <c r="G49" s="40"/>
      <c r="H49" s="40"/>
      <c r="I49" s="40"/>
      <c r="J49" s="40"/>
      <c r="K49" s="40"/>
    </row>
    <row r="50" spans="7:11" x14ac:dyDescent="0.25">
      <c r="G50" s="40"/>
      <c r="H50" s="40"/>
      <c r="I50" s="40"/>
      <c r="J50" s="40"/>
      <c r="K50" s="40"/>
    </row>
    <row r="51" spans="7:11" x14ac:dyDescent="0.25">
      <c r="G51" s="40"/>
      <c r="H51" s="40"/>
      <c r="I51" s="40"/>
      <c r="J51" s="40"/>
      <c r="K51" s="40"/>
    </row>
    <row r="52" spans="7:11" x14ac:dyDescent="0.25">
      <c r="G52" s="40"/>
      <c r="H52" s="40"/>
      <c r="I52" s="40"/>
      <c r="J52" s="40"/>
      <c r="K52" s="40"/>
    </row>
    <row r="53" spans="7:11" x14ac:dyDescent="0.25">
      <c r="G53" s="40"/>
      <c r="H53" s="40"/>
      <c r="I53" s="40"/>
      <c r="J53" s="40"/>
      <c r="K53" s="40"/>
    </row>
    <row r="54" spans="7:11" x14ac:dyDescent="0.25">
      <c r="G54" s="40"/>
      <c r="H54" s="40"/>
      <c r="I54" s="40"/>
      <c r="J54" s="40"/>
      <c r="K54" s="40"/>
    </row>
    <row r="55" spans="7:11" x14ac:dyDescent="0.25">
      <c r="G55" s="40"/>
      <c r="H55" s="40"/>
      <c r="I55" s="40"/>
      <c r="J55" s="40"/>
      <c r="K55" s="40"/>
    </row>
    <row r="56" spans="7:11" x14ac:dyDescent="0.25">
      <c r="G56" s="40"/>
      <c r="H56" s="40"/>
      <c r="I56" s="40"/>
      <c r="J56" s="40"/>
      <c r="K56" s="40"/>
    </row>
    <row r="57" spans="7:11" x14ac:dyDescent="0.25">
      <c r="G57" s="40"/>
      <c r="H57" s="40"/>
      <c r="I57" s="40"/>
      <c r="J57" s="40"/>
      <c r="K57" s="40"/>
    </row>
    <row r="58" spans="7:11" x14ac:dyDescent="0.25">
      <c r="G58" s="40"/>
      <c r="H58" s="40"/>
      <c r="I58" s="40"/>
      <c r="J58" s="40"/>
      <c r="K58" s="40"/>
    </row>
    <row r="59" spans="7:11" x14ac:dyDescent="0.25">
      <c r="G59" s="40"/>
      <c r="H59" s="40"/>
      <c r="I59" s="40"/>
      <c r="J59" s="40"/>
      <c r="K59" s="40"/>
    </row>
    <row r="60" spans="7:11" x14ac:dyDescent="0.25">
      <c r="G60" s="40"/>
      <c r="H60" s="40"/>
      <c r="I60" s="40"/>
      <c r="J60" s="40"/>
      <c r="K60" s="40"/>
    </row>
    <row r="61" spans="7:11" x14ac:dyDescent="0.25">
      <c r="G61" s="40"/>
      <c r="H61" s="40"/>
      <c r="I61" s="40"/>
      <c r="J61" s="40"/>
      <c r="K61" s="40"/>
    </row>
    <row r="62" spans="7:11" x14ac:dyDescent="0.25">
      <c r="G62" s="40"/>
      <c r="H62" s="40"/>
      <c r="I62" s="40"/>
      <c r="J62" s="40"/>
      <c r="K62" s="40"/>
    </row>
    <row r="63" spans="7:11" x14ac:dyDescent="0.25">
      <c r="G63" s="40"/>
      <c r="H63" s="40"/>
      <c r="I63" s="40"/>
      <c r="J63" s="40"/>
      <c r="K63" s="40"/>
    </row>
    <row r="64" spans="7:11" x14ac:dyDescent="0.25">
      <c r="G64" s="40"/>
      <c r="H64" s="40"/>
      <c r="I64" s="40"/>
      <c r="J64" s="40"/>
      <c r="K64" s="40"/>
    </row>
    <row r="65" spans="7:11" x14ac:dyDescent="0.25">
      <c r="G65" s="40"/>
      <c r="H65" s="40"/>
      <c r="I65" s="40"/>
      <c r="J65" s="40"/>
      <c r="K65" s="40"/>
    </row>
    <row r="66" spans="7:11" x14ac:dyDescent="0.25">
      <c r="G66" s="40"/>
      <c r="H66" s="40"/>
      <c r="I66" s="40"/>
      <c r="J66" s="40"/>
      <c r="K66" s="40"/>
    </row>
    <row r="67" spans="7:11" x14ac:dyDescent="0.25">
      <c r="G67" s="40"/>
      <c r="H67" s="40"/>
      <c r="I67" s="40"/>
      <c r="J67" s="40"/>
      <c r="K67" s="40"/>
    </row>
    <row r="68" spans="7:11" x14ac:dyDescent="0.25">
      <c r="G68" s="40"/>
      <c r="H68" s="40"/>
      <c r="I68" s="40"/>
      <c r="J68" s="40"/>
      <c r="K68" s="40"/>
    </row>
    <row r="69" spans="7:11" x14ac:dyDescent="0.25">
      <c r="G69" s="40"/>
      <c r="H69" s="40"/>
      <c r="I69" s="40"/>
      <c r="J69" s="40"/>
      <c r="K69" s="40"/>
    </row>
    <row r="70" spans="7:11" x14ac:dyDescent="0.25">
      <c r="G70" s="40"/>
      <c r="H70" s="40"/>
      <c r="I70" s="40"/>
      <c r="J70" s="40"/>
      <c r="K70" s="40"/>
    </row>
    <row r="71" spans="7:11" x14ac:dyDescent="0.25">
      <c r="G71" s="40"/>
      <c r="H71" s="40"/>
      <c r="I71" s="40"/>
      <c r="J71" s="40"/>
      <c r="K71" s="40"/>
    </row>
    <row r="72" spans="7:11" x14ac:dyDescent="0.25">
      <c r="G72" s="40"/>
      <c r="H72" s="40"/>
      <c r="I72" s="40"/>
      <c r="J72" s="40"/>
      <c r="K72" s="40"/>
    </row>
    <row r="73" spans="7:11" x14ac:dyDescent="0.25">
      <c r="G73" s="40"/>
      <c r="H73" s="40"/>
      <c r="I73" s="40"/>
      <c r="J73" s="40"/>
      <c r="K73" s="40"/>
    </row>
    <row r="74" spans="7:11" x14ac:dyDescent="0.25">
      <c r="G74" s="40"/>
      <c r="H74" s="40"/>
      <c r="I74" s="40"/>
      <c r="J74" s="40"/>
      <c r="K74" s="40"/>
    </row>
    <row r="75" spans="7:11" x14ac:dyDescent="0.25">
      <c r="G75" s="40"/>
      <c r="H75" s="40"/>
      <c r="I75" s="40"/>
      <c r="J75" s="40"/>
      <c r="K75" s="40"/>
    </row>
    <row r="76" spans="7:11" x14ac:dyDescent="0.25">
      <c r="G76" s="40"/>
      <c r="H76" s="40"/>
      <c r="I76" s="40"/>
      <c r="J76" s="40"/>
      <c r="K76" s="40"/>
    </row>
    <row r="77" spans="7:11" x14ac:dyDescent="0.25">
      <c r="G77" s="40"/>
      <c r="H77" s="40"/>
      <c r="I77" s="40"/>
      <c r="J77" s="40"/>
      <c r="K77" s="40"/>
    </row>
    <row r="78" spans="7:11" x14ac:dyDescent="0.25">
      <c r="G78" s="40"/>
      <c r="H78" s="40"/>
      <c r="I78" s="40"/>
      <c r="J78" s="40"/>
      <c r="K78" s="40"/>
    </row>
    <row r="79" spans="7:11" x14ac:dyDescent="0.25">
      <c r="G79" s="40"/>
      <c r="H79" s="40"/>
      <c r="I79" s="40"/>
      <c r="J79" s="40"/>
      <c r="K79" s="40"/>
    </row>
    <row r="80" spans="7:11" x14ac:dyDescent="0.25">
      <c r="G80" s="40"/>
      <c r="H80" s="40"/>
      <c r="I80" s="40"/>
      <c r="J80" s="40"/>
      <c r="K80" s="40"/>
    </row>
    <row r="81" spans="7:11" x14ac:dyDescent="0.25">
      <c r="G81" s="40"/>
      <c r="H81" s="40"/>
      <c r="I81" s="40"/>
      <c r="J81" s="40"/>
      <c r="K81" s="40"/>
    </row>
    <row r="82" spans="7:11" x14ac:dyDescent="0.25">
      <c r="G82" s="40"/>
      <c r="H82" s="40"/>
      <c r="I82" s="40"/>
      <c r="J82" s="40"/>
      <c r="K82" s="40"/>
    </row>
    <row r="83" spans="7:11" x14ac:dyDescent="0.25">
      <c r="G83" s="40"/>
      <c r="H83" s="40"/>
      <c r="I83" s="40"/>
      <c r="J83" s="40"/>
      <c r="K83" s="40"/>
    </row>
    <row r="84" spans="7:11" x14ac:dyDescent="0.25">
      <c r="G84" s="40"/>
      <c r="H84" s="40"/>
      <c r="I84" s="40"/>
      <c r="J84" s="40"/>
      <c r="K84" s="40"/>
    </row>
    <row r="85" spans="7:11" x14ac:dyDescent="0.25">
      <c r="G85" s="40"/>
      <c r="H85" s="40"/>
      <c r="I85" s="40"/>
      <c r="J85" s="40"/>
      <c r="K85" s="40"/>
    </row>
    <row r="86" spans="7:11" x14ac:dyDescent="0.25">
      <c r="G86" s="40"/>
      <c r="H86" s="40"/>
      <c r="I86" s="40"/>
      <c r="J86" s="40"/>
      <c r="K86" s="40"/>
    </row>
    <row r="87" spans="7:11" x14ac:dyDescent="0.25">
      <c r="G87" s="40"/>
      <c r="H87" s="40"/>
      <c r="I87" s="40"/>
      <c r="J87" s="40"/>
      <c r="K87" s="40"/>
    </row>
    <row r="88" spans="7:11" x14ac:dyDescent="0.25">
      <c r="G88" s="40"/>
      <c r="H88" s="40"/>
      <c r="I88" s="40"/>
      <c r="J88" s="40"/>
      <c r="K88" s="40"/>
    </row>
    <row r="89" spans="7:11" x14ac:dyDescent="0.25">
      <c r="G89" s="40"/>
      <c r="H89" s="40"/>
      <c r="I89" s="40"/>
      <c r="J89" s="40"/>
      <c r="K89" s="40"/>
    </row>
    <row r="90" spans="7:11" x14ac:dyDescent="0.25">
      <c r="G90" s="40"/>
      <c r="H90" s="40"/>
      <c r="I90" s="40"/>
      <c r="J90" s="40"/>
      <c r="K90" s="40"/>
    </row>
    <row r="91" spans="7:11" x14ac:dyDescent="0.25">
      <c r="G91" s="40"/>
      <c r="H91" s="40"/>
      <c r="I91" s="40"/>
      <c r="J91" s="40"/>
      <c r="K91" s="40"/>
    </row>
    <row r="92" spans="7:11" x14ac:dyDescent="0.25">
      <c r="G92" s="40"/>
      <c r="H92" s="40"/>
      <c r="I92" s="40"/>
      <c r="J92" s="40"/>
      <c r="K92" s="40"/>
    </row>
    <row r="93" spans="7:11" x14ac:dyDescent="0.25">
      <c r="G93" s="40"/>
      <c r="H93" s="40"/>
      <c r="I93" s="40"/>
      <c r="J93" s="40"/>
      <c r="K93" s="40"/>
    </row>
    <row r="94" spans="7:11" x14ac:dyDescent="0.25">
      <c r="G94" s="40"/>
      <c r="H94" s="40"/>
      <c r="I94" s="40"/>
      <c r="J94" s="40"/>
      <c r="K94" s="40"/>
    </row>
    <row r="95" spans="7:11" x14ac:dyDescent="0.25">
      <c r="G95" s="40"/>
      <c r="H95" s="40"/>
      <c r="I95" s="40"/>
      <c r="J95" s="40"/>
      <c r="K95" s="40"/>
    </row>
    <row r="96" spans="7:11" x14ac:dyDescent="0.25">
      <c r="G96" s="40"/>
      <c r="H96" s="40"/>
      <c r="I96" s="40"/>
      <c r="J96" s="40"/>
      <c r="K96" s="40"/>
    </row>
    <row r="97" spans="7:11" x14ac:dyDescent="0.25">
      <c r="G97" s="40"/>
      <c r="H97" s="40"/>
      <c r="I97" s="40"/>
      <c r="J97" s="40"/>
      <c r="K97" s="40"/>
    </row>
    <row r="98" spans="7:11" x14ac:dyDescent="0.25">
      <c r="G98" s="40"/>
      <c r="H98" s="40"/>
      <c r="I98" s="40"/>
      <c r="J98" s="40"/>
      <c r="K98" s="40"/>
    </row>
    <row r="99" spans="7:11" x14ac:dyDescent="0.25">
      <c r="G99" s="40"/>
      <c r="H99" s="40"/>
      <c r="I99" s="40"/>
      <c r="J99" s="40"/>
      <c r="K99" s="40"/>
    </row>
    <row r="100" spans="7:11" x14ac:dyDescent="0.25">
      <c r="G100" s="40"/>
      <c r="H100" s="40"/>
      <c r="I100" s="40"/>
      <c r="J100" s="40"/>
      <c r="K100" s="40"/>
    </row>
    <row r="101" spans="7:11" x14ac:dyDescent="0.25">
      <c r="G101" s="40"/>
      <c r="H101" s="40"/>
      <c r="I101" s="40"/>
      <c r="J101" s="40"/>
      <c r="K101" s="40"/>
    </row>
    <row r="102" spans="7:11" x14ac:dyDescent="0.25">
      <c r="G102" s="40"/>
      <c r="H102" s="40"/>
      <c r="I102" s="40"/>
      <c r="J102" s="40"/>
      <c r="K102" s="40"/>
    </row>
    <row r="103" spans="7:11" x14ac:dyDescent="0.25">
      <c r="G103" s="40"/>
      <c r="H103" s="40"/>
      <c r="I103" s="40"/>
      <c r="J103" s="40"/>
      <c r="K103" s="40"/>
    </row>
    <row r="104" spans="7:11" x14ac:dyDescent="0.25">
      <c r="G104" s="40"/>
      <c r="H104" s="40"/>
      <c r="I104" s="40"/>
      <c r="J104" s="40"/>
      <c r="K104" s="40"/>
    </row>
    <row r="105" spans="7:11" x14ac:dyDescent="0.25">
      <c r="G105" s="40"/>
      <c r="H105" s="40"/>
      <c r="I105" s="40"/>
      <c r="J105" s="40"/>
      <c r="K105" s="40"/>
    </row>
    <row r="106" spans="7:11" x14ac:dyDescent="0.25">
      <c r="G106" s="40"/>
      <c r="H106" s="40"/>
      <c r="I106" s="40"/>
      <c r="J106" s="40"/>
      <c r="K106" s="40"/>
    </row>
    <row r="107" spans="7:11" x14ac:dyDescent="0.25">
      <c r="G107" s="40"/>
      <c r="H107" s="40"/>
      <c r="I107" s="40"/>
      <c r="J107" s="40"/>
      <c r="K107" s="40"/>
    </row>
    <row r="108" spans="7:11" x14ac:dyDescent="0.25">
      <c r="G108" s="40"/>
      <c r="H108" s="40"/>
      <c r="I108" s="40"/>
      <c r="J108" s="40"/>
      <c r="K108" s="40"/>
    </row>
    <row r="109" spans="7:11" x14ac:dyDescent="0.25">
      <c r="G109" s="40"/>
      <c r="H109" s="40"/>
      <c r="I109" s="40"/>
      <c r="J109" s="40"/>
      <c r="K109" s="40"/>
    </row>
    <row r="110" spans="7:11" x14ac:dyDescent="0.25">
      <c r="G110" s="40"/>
      <c r="H110" s="40"/>
      <c r="I110" s="40"/>
      <c r="J110" s="40"/>
      <c r="K110" s="40"/>
    </row>
    <row r="111" spans="7:11" x14ac:dyDescent="0.25">
      <c r="G111" s="40"/>
      <c r="H111" s="40"/>
      <c r="I111" s="40"/>
      <c r="J111" s="40"/>
      <c r="K111" s="40"/>
    </row>
    <row r="112" spans="7:11" x14ac:dyDescent="0.25">
      <c r="G112" s="40"/>
      <c r="H112" s="40"/>
      <c r="I112" s="40"/>
      <c r="J112" s="40"/>
      <c r="K112" s="40"/>
    </row>
    <row r="113" spans="7:11" x14ac:dyDescent="0.25">
      <c r="G113" s="40"/>
      <c r="H113" s="40"/>
      <c r="I113" s="40"/>
      <c r="J113" s="40"/>
      <c r="K113" s="40"/>
    </row>
    <row r="114" spans="7:11" x14ac:dyDescent="0.25">
      <c r="G114" s="40"/>
      <c r="H114" s="40"/>
      <c r="I114" s="40"/>
      <c r="J114" s="40"/>
      <c r="K114" s="40"/>
    </row>
    <row r="115" spans="7:11" x14ac:dyDescent="0.25">
      <c r="G115" s="40"/>
      <c r="H115" s="40"/>
      <c r="I115" s="40"/>
      <c r="J115" s="40"/>
      <c r="K115" s="40"/>
    </row>
    <row r="116" spans="7:11" x14ac:dyDescent="0.25">
      <c r="G116" s="40"/>
      <c r="H116" s="40"/>
      <c r="I116" s="40"/>
      <c r="J116" s="40"/>
      <c r="K116" s="40"/>
    </row>
    <row r="117" spans="7:11" x14ac:dyDescent="0.25">
      <c r="G117" s="40"/>
      <c r="H117" s="40"/>
      <c r="I117" s="40"/>
      <c r="J117" s="40"/>
      <c r="K117" s="40"/>
    </row>
    <row r="118" spans="7:11" x14ac:dyDescent="0.25">
      <c r="G118" s="40"/>
      <c r="H118" s="40"/>
      <c r="I118" s="40"/>
      <c r="J118" s="40"/>
      <c r="K118" s="40"/>
    </row>
    <row r="119" spans="7:11" x14ac:dyDescent="0.25">
      <c r="G119" s="40"/>
      <c r="H119" s="40"/>
      <c r="I119" s="40"/>
      <c r="J119" s="40"/>
      <c r="K119" s="40"/>
    </row>
    <row r="120" spans="7:11" x14ac:dyDescent="0.25">
      <c r="G120" s="40"/>
      <c r="H120" s="40"/>
      <c r="I120" s="40"/>
      <c r="J120" s="40"/>
      <c r="K120" s="40"/>
    </row>
    <row r="121" spans="7:11" x14ac:dyDescent="0.25">
      <c r="G121" s="40"/>
      <c r="H121" s="40"/>
      <c r="I121" s="40"/>
      <c r="J121" s="40"/>
      <c r="K121" s="40"/>
    </row>
    <row r="122" spans="7:11" x14ac:dyDescent="0.25">
      <c r="G122" s="40"/>
      <c r="H122" s="40"/>
      <c r="I122" s="40"/>
      <c r="J122" s="40"/>
      <c r="K122" s="40"/>
    </row>
    <row r="123" spans="7:11" x14ac:dyDescent="0.25">
      <c r="G123" s="40"/>
      <c r="H123" s="40"/>
      <c r="I123" s="40"/>
      <c r="J123" s="40"/>
      <c r="K123" s="40"/>
    </row>
    <row r="124" spans="7:11" x14ac:dyDescent="0.25">
      <c r="G124" s="40"/>
      <c r="H124" s="40"/>
      <c r="I124" s="40"/>
      <c r="J124" s="40"/>
      <c r="K124" s="40"/>
    </row>
    <row r="125" spans="7:11" x14ac:dyDescent="0.25">
      <c r="G125" s="40"/>
      <c r="H125" s="40"/>
      <c r="I125" s="40"/>
      <c r="J125" s="40"/>
      <c r="K125" s="40"/>
    </row>
    <row r="126" spans="7:11" x14ac:dyDescent="0.25">
      <c r="G126" s="40"/>
      <c r="H126" s="40"/>
      <c r="I126" s="40"/>
      <c r="J126" s="40"/>
      <c r="K126" s="40"/>
    </row>
    <row r="127" spans="7:11" x14ac:dyDescent="0.25">
      <c r="G127" s="40"/>
      <c r="H127" s="40"/>
      <c r="I127" s="40"/>
      <c r="J127" s="40"/>
      <c r="K127" s="40"/>
    </row>
    <row r="128" spans="7:11" x14ac:dyDescent="0.25">
      <c r="G128" s="40"/>
      <c r="H128" s="40"/>
      <c r="I128" s="40"/>
      <c r="J128" s="40"/>
      <c r="K128" s="40"/>
    </row>
    <row r="129" spans="7:11" x14ac:dyDescent="0.25">
      <c r="G129" s="40"/>
      <c r="H129" s="40"/>
      <c r="I129" s="40"/>
      <c r="J129" s="40"/>
      <c r="K129" s="40"/>
    </row>
    <row r="130" spans="7:11" x14ac:dyDescent="0.25">
      <c r="G130" s="40"/>
      <c r="H130" s="40"/>
      <c r="I130" s="40"/>
      <c r="J130" s="40"/>
      <c r="K130" s="40"/>
    </row>
    <row r="131" spans="7:11" x14ac:dyDescent="0.25">
      <c r="G131" s="40"/>
      <c r="H131" s="40"/>
      <c r="I131" s="40"/>
      <c r="J131" s="40"/>
      <c r="K131" s="40"/>
    </row>
    <row r="132" spans="7:11" x14ac:dyDescent="0.25">
      <c r="G132" s="40"/>
      <c r="H132" s="40"/>
      <c r="I132" s="40"/>
      <c r="J132" s="40"/>
      <c r="K132" s="40"/>
    </row>
    <row r="133" spans="7:11" x14ac:dyDescent="0.25">
      <c r="G133" s="40"/>
      <c r="H133" s="40"/>
      <c r="I133" s="40"/>
      <c r="J133" s="40"/>
      <c r="K133" s="40"/>
    </row>
    <row r="134" spans="7:11" x14ac:dyDescent="0.25">
      <c r="G134" s="40"/>
      <c r="H134" s="40"/>
      <c r="I134" s="40"/>
      <c r="J134" s="40"/>
      <c r="K134" s="40"/>
    </row>
    <row r="135" spans="7:11" x14ac:dyDescent="0.25">
      <c r="G135" s="40"/>
      <c r="H135" s="40"/>
      <c r="I135" s="40"/>
      <c r="J135" s="40"/>
      <c r="K135" s="40"/>
    </row>
    <row r="136" spans="7:11" x14ac:dyDescent="0.25">
      <c r="G136" s="40"/>
      <c r="H136" s="40"/>
      <c r="I136" s="40"/>
      <c r="J136" s="40"/>
      <c r="K136" s="40"/>
    </row>
    <row r="137" spans="7:11" x14ac:dyDescent="0.25">
      <c r="G137" s="40"/>
      <c r="H137" s="40"/>
      <c r="I137" s="40"/>
      <c r="J137" s="40"/>
      <c r="K137" s="40"/>
    </row>
    <row r="138" spans="7:11" x14ac:dyDescent="0.25">
      <c r="G138" s="40"/>
      <c r="H138" s="40"/>
      <c r="I138" s="40"/>
      <c r="J138" s="40"/>
      <c r="K138" s="40"/>
    </row>
    <row r="139" spans="7:11" x14ac:dyDescent="0.25">
      <c r="G139" s="40"/>
      <c r="H139" s="40"/>
      <c r="I139" s="40"/>
      <c r="J139" s="40"/>
      <c r="K139" s="40"/>
    </row>
    <row r="140" spans="7:11" x14ac:dyDescent="0.25">
      <c r="G140" s="40"/>
      <c r="H140" s="40"/>
      <c r="I140" s="40"/>
      <c r="J140" s="40"/>
      <c r="K140" s="40"/>
    </row>
    <row r="141" spans="7:11" x14ac:dyDescent="0.25">
      <c r="G141" s="40"/>
      <c r="H141" s="40"/>
      <c r="I141" s="40"/>
      <c r="J141" s="40"/>
      <c r="K141" s="40"/>
    </row>
    <row r="142" spans="7:11" x14ac:dyDescent="0.25">
      <c r="G142" s="40"/>
      <c r="H142" s="40"/>
      <c r="I142" s="40"/>
      <c r="J142" s="40"/>
      <c r="K142" s="40"/>
    </row>
    <row r="143" spans="7:11" x14ac:dyDescent="0.25">
      <c r="G143" s="40"/>
      <c r="H143" s="40"/>
      <c r="I143" s="40"/>
      <c r="J143" s="40"/>
      <c r="K143" s="40"/>
    </row>
    <row r="144" spans="7:11" x14ac:dyDescent="0.25">
      <c r="G144" s="40"/>
      <c r="H144" s="40"/>
      <c r="I144" s="40"/>
      <c r="J144" s="40"/>
      <c r="K144" s="40"/>
    </row>
    <row r="145" spans="7:11" x14ac:dyDescent="0.25">
      <c r="G145" s="40"/>
      <c r="H145" s="40"/>
      <c r="I145" s="40"/>
      <c r="J145" s="40"/>
      <c r="K145" s="40"/>
    </row>
    <row r="146" spans="7:11" x14ac:dyDescent="0.25">
      <c r="G146" s="40"/>
      <c r="H146" s="40"/>
      <c r="I146" s="40"/>
      <c r="J146" s="40"/>
      <c r="K146" s="40"/>
    </row>
    <row r="147" spans="7:11" x14ac:dyDescent="0.25">
      <c r="G147" s="40"/>
      <c r="H147" s="40"/>
      <c r="I147" s="40"/>
      <c r="J147" s="40"/>
      <c r="K147" s="40"/>
    </row>
    <row r="148" spans="7:11" x14ac:dyDescent="0.25">
      <c r="G148" s="40"/>
      <c r="H148" s="40"/>
      <c r="I148" s="40"/>
      <c r="J148" s="40"/>
      <c r="K148" s="40"/>
    </row>
    <row r="149" spans="7:11" x14ac:dyDescent="0.25">
      <c r="G149" s="40"/>
      <c r="H149" s="40"/>
      <c r="I149" s="40"/>
      <c r="J149" s="40"/>
      <c r="K149" s="40"/>
    </row>
    <row r="150" spans="7:11" x14ac:dyDescent="0.25">
      <c r="G150" s="40"/>
      <c r="H150" s="40"/>
      <c r="I150" s="40"/>
      <c r="J150" s="40"/>
      <c r="K150" s="40"/>
    </row>
    <row r="151" spans="7:11" x14ac:dyDescent="0.25">
      <c r="G151" s="40"/>
      <c r="H151" s="40"/>
      <c r="I151" s="40"/>
      <c r="J151" s="40"/>
      <c r="K151" s="40"/>
    </row>
    <row r="152" spans="7:11" x14ac:dyDescent="0.25">
      <c r="G152" s="40"/>
      <c r="H152" s="40"/>
      <c r="I152" s="40"/>
      <c r="J152" s="40"/>
      <c r="K152" s="40"/>
    </row>
    <row r="153" spans="7:11" x14ac:dyDescent="0.25">
      <c r="G153" s="40"/>
      <c r="H153" s="40"/>
      <c r="I153" s="40"/>
      <c r="J153" s="40"/>
      <c r="K153" s="40"/>
    </row>
    <row r="154" spans="7:11" x14ac:dyDescent="0.25">
      <c r="G154" s="40"/>
      <c r="H154" s="40"/>
      <c r="I154" s="40"/>
      <c r="J154" s="40"/>
      <c r="K154" s="40"/>
    </row>
    <row r="155" spans="7:11" x14ac:dyDescent="0.25">
      <c r="G155" s="40"/>
      <c r="H155" s="40"/>
      <c r="I155" s="40"/>
      <c r="J155" s="40"/>
      <c r="K155" s="40"/>
    </row>
    <row r="156" spans="7:11" x14ac:dyDescent="0.25">
      <c r="G156" s="40"/>
      <c r="H156" s="40"/>
      <c r="I156" s="40"/>
      <c r="J156" s="40"/>
      <c r="K156" s="40"/>
    </row>
    <row r="157" spans="7:11" x14ac:dyDescent="0.25">
      <c r="G157" s="40"/>
      <c r="H157" s="40"/>
      <c r="I157" s="40"/>
      <c r="J157" s="40"/>
      <c r="K157" s="40"/>
    </row>
    <row r="158" spans="7:11" x14ac:dyDescent="0.25">
      <c r="G158" s="40"/>
      <c r="H158" s="40"/>
      <c r="I158" s="40"/>
      <c r="J158" s="40"/>
      <c r="K158" s="40"/>
    </row>
    <row r="159" spans="7:11" x14ac:dyDescent="0.25">
      <c r="G159" s="40"/>
      <c r="H159" s="40"/>
      <c r="I159" s="40"/>
      <c r="J159" s="40"/>
      <c r="K159" s="40"/>
    </row>
    <row r="160" spans="7:11" x14ac:dyDescent="0.25">
      <c r="G160" s="40"/>
      <c r="H160" s="40"/>
      <c r="I160" s="40"/>
      <c r="J160" s="40"/>
      <c r="K160" s="40"/>
    </row>
    <row r="161" spans="7:11" x14ac:dyDescent="0.25">
      <c r="G161" s="40"/>
      <c r="H161" s="40"/>
      <c r="I161" s="40"/>
      <c r="J161" s="40"/>
      <c r="K161" s="40"/>
    </row>
    <row r="162" spans="7:11" x14ac:dyDescent="0.25">
      <c r="G162" s="40"/>
      <c r="H162" s="40"/>
      <c r="I162" s="40"/>
      <c r="J162" s="40"/>
      <c r="K162" s="40"/>
    </row>
    <row r="163" spans="7:11" x14ac:dyDescent="0.25">
      <c r="G163" s="40"/>
      <c r="H163" s="40"/>
      <c r="I163" s="40"/>
      <c r="J163" s="40"/>
      <c r="K163" s="40"/>
    </row>
    <row r="164" spans="7:11" x14ac:dyDescent="0.25">
      <c r="G164" s="40"/>
      <c r="H164" s="40"/>
      <c r="I164" s="40"/>
      <c r="J164" s="40"/>
      <c r="K164" s="40"/>
    </row>
    <row r="165" spans="7:11" x14ac:dyDescent="0.25">
      <c r="G165" s="40"/>
      <c r="H165" s="40"/>
      <c r="I165" s="40"/>
      <c r="J165" s="40"/>
      <c r="K165" s="40"/>
    </row>
    <row r="166" spans="7:11" x14ac:dyDescent="0.25">
      <c r="G166" s="40"/>
      <c r="H166" s="40"/>
      <c r="I166" s="40"/>
      <c r="J166" s="40"/>
      <c r="K166" s="40"/>
    </row>
    <row r="167" spans="7:11" x14ac:dyDescent="0.25">
      <c r="G167" s="40"/>
      <c r="H167" s="40"/>
      <c r="I167" s="40"/>
      <c r="J167" s="40"/>
      <c r="K167" s="40"/>
    </row>
    <row r="168" spans="7:11" x14ac:dyDescent="0.25">
      <c r="G168" s="40"/>
      <c r="H168" s="40"/>
      <c r="I168" s="40"/>
      <c r="J168" s="40"/>
      <c r="K168" s="40"/>
    </row>
    <row r="169" spans="7:11" x14ac:dyDescent="0.25">
      <c r="G169" s="40"/>
      <c r="H169" s="40"/>
      <c r="I169" s="40"/>
      <c r="J169" s="40"/>
      <c r="K169" s="40"/>
    </row>
    <row r="170" spans="7:11" x14ac:dyDescent="0.25">
      <c r="G170" s="40"/>
      <c r="H170" s="40"/>
      <c r="I170" s="40"/>
      <c r="J170" s="40"/>
      <c r="K170" s="40"/>
    </row>
    <row r="171" spans="7:11" x14ac:dyDescent="0.25">
      <c r="G171" s="40"/>
      <c r="H171" s="40"/>
      <c r="I171" s="40"/>
      <c r="J171" s="40"/>
      <c r="K171" s="40"/>
    </row>
    <row r="172" spans="7:11" x14ac:dyDescent="0.25">
      <c r="G172" s="40"/>
      <c r="H172" s="40"/>
      <c r="I172" s="40"/>
      <c r="J172" s="40"/>
      <c r="K172" s="40"/>
    </row>
    <row r="173" spans="7:11" x14ac:dyDescent="0.25">
      <c r="G173" s="40"/>
      <c r="H173" s="40"/>
      <c r="I173" s="40"/>
      <c r="J173" s="40"/>
      <c r="K173" s="40"/>
    </row>
    <row r="174" spans="7:11" x14ac:dyDescent="0.25">
      <c r="G174" s="40"/>
      <c r="H174" s="40"/>
      <c r="I174" s="40"/>
      <c r="J174" s="40"/>
      <c r="K174" s="40"/>
    </row>
    <row r="175" spans="7:11" x14ac:dyDescent="0.25">
      <c r="G175" s="40"/>
      <c r="H175" s="40"/>
      <c r="I175" s="40"/>
      <c r="J175" s="40"/>
      <c r="K175" s="40"/>
    </row>
    <row r="176" spans="7:11" x14ac:dyDescent="0.25">
      <c r="G176" s="40"/>
      <c r="H176" s="40"/>
      <c r="I176" s="40"/>
      <c r="J176" s="40"/>
      <c r="K176" s="40"/>
    </row>
    <row r="177" spans="7:11" x14ac:dyDescent="0.25">
      <c r="G177" s="40"/>
      <c r="H177" s="40"/>
      <c r="I177" s="40"/>
      <c r="J177" s="40"/>
      <c r="K177" s="40"/>
    </row>
    <row r="178" spans="7:11" x14ac:dyDescent="0.25">
      <c r="G178" s="40"/>
      <c r="H178" s="40"/>
      <c r="I178" s="40"/>
      <c r="J178" s="40"/>
      <c r="K178" s="40"/>
    </row>
    <row r="179" spans="7:11" x14ac:dyDescent="0.25">
      <c r="G179" s="40"/>
      <c r="H179" s="40"/>
      <c r="I179" s="40"/>
      <c r="J179" s="40"/>
      <c r="K179" s="40"/>
    </row>
    <row r="180" spans="7:11" x14ac:dyDescent="0.25">
      <c r="G180" s="40"/>
      <c r="H180" s="40"/>
      <c r="I180" s="40"/>
      <c r="J180" s="40"/>
      <c r="K180" s="40"/>
    </row>
    <row r="181" spans="7:11" x14ac:dyDescent="0.25">
      <c r="G181" s="40"/>
      <c r="H181" s="40"/>
      <c r="I181" s="40"/>
      <c r="J181" s="40"/>
      <c r="K181" s="40"/>
    </row>
    <row r="182" spans="7:11" x14ac:dyDescent="0.25">
      <c r="G182" s="40"/>
      <c r="H182" s="40"/>
      <c r="I182" s="40"/>
      <c r="J182" s="40"/>
      <c r="K182" s="40"/>
    </row>
    <row r="183" spans="7:11" x14ac:dyDescent="0.25">
      <c r="G183" s="40"/>
      <c r="H183" s="40"/>
      <c r="I183" s="40"/>
      <c r="J183" s="40"/>
      <c r="K183" s="40"/>
    </row>
    <row r="184" spans="7:11" x14ac:dyDescent="0.25">
      <c r="G184" s="40"/>
      <c r="H184" s="40"/>
      <c r="I184" s="40"/>
      <c r="J184" s="40"/>
      <c r="K184" s="40"/>
    </row>
    <row r="185" spans="7:11" x14ac:dyDescent="0.25">
      <c r="G185" s="40"/>
      <c r="H185" s="40"/>
      <c r="I185" s="40"/>
      <c r="J185" s="40"/>
      <c r="K185" s="40"/>
    </row>
    <row r="186" spans="7:11" x14ac:dyDescent="0.25">
      <c r="G186" s="40"/>
      <c r="H186" s="40"/>
      <c r="I186" s="40"/>
      <c r="J186" s="40"/>
      <c r="K186" s="40"/>
    </row>
    <row r="187" spans="7:11" x14ac:dyDescent="0.25">
      <c r="G187" s="40"/>
      <c r="H187" s="40"/>
      <c r="I187" s="40"/>
      <c r="J187" s="40"/>
      <c r="K187" s="40"/>
    </row>
    <row r="188" spans="7:11" x14ac:dyDescent="0.25">
      <c r="G188" s="40"/>
      <c r="H188" s="40"/>
      <c r="I188" s="40"/>
      <c r="J188" s="40"/>
      <c r="K188" s="40"/>
    </row>
    <row r="189" spans="7:11" x14ac:dyDescent="0.25">
      <c r="G189" s="40"/>
      <c r="H189" s="40"/>
      <c r="I189" s="40"/>
      <c r="J189" s="40"/>
      <c r="K189" s="40"/>
    </row>
    <row r="190" spans="7:11" x14ac:dyDescent="0.25">
      <c r="G190" s="40"/>
      <c r="H190" s="40"/>
      <c r="I190" s="40"/>
      <c r="J190" s="40"/>
      <c r="K190" s="40"/>
    </row>
    <row r="191" spans="7:11" x14ac:dyDescent="0.25">
      <c r="G191" s="40"/>
      <c r="H191" s="40"/>
      <c r="I191" s="40"/>
      <c r="J191" s="40"/>
      <c r="K191" s="40"/>
    </row>
    <row r="192" spans="7:11" x14ac:dyDescent="0.25">
      <c r="G192" s="40"/>
      <c r="H192" s="40"/>
      <c r="I192" s="40"/>
      <c r="J192" s="40"/>
      <c r="K192" s="40"/>
    </row>
    <row r="193" spans="7:11" x14ac:dyDescent="0.25">
      <c r="G193" s="40"/>
      <c r="H193" s="40"/>
      <c r="I193" s="40"/>
      <c r="J193" s="40"/>
      <c r="K193" s="40"/>
    </row>
    <row r="194" spans="7:11" x14ac:dyDescent="0.25">
      <c r="G194" s="40"/>
      <c r="H194" s="40"/>
      <c r="I194" s="40"/>
      <c r="J194" s="40"/>
      <c r="K194" s="40"/>
    </row>
    <row r="195" spans="7:11" x14ac:dyDescent="0.25">
      <c r="G195" s="40"/>
      <c r="H195" s="40"/>
      <c r="I195" s="40"/>
      <c r="J195" s="40"/>
      <c r="K195" s="40"/>
    </row>
    <row r="196" spans="7:11" x14ac:dyDescent="0.25">
      <c r="G196" s="40"/>
      <c r="H196" s="40"/>
      <c r="I196" s="40"/>
      <c r="J196" s="40"/>
      <c r="K196" s="40"/>
    </row>
    <row r="197" spans="7:11" x14ac:dyDescent="0.25">
      <c r="G197" s="40"/>
      <c r="H197" s="40"/>
      <c r="I197" s="40"/>
      <c r="J197" s="40"/>
      <c r="K197" s="40"/>
    </row>
    <row r="198" spans="7:11" x14ac:dyDescent="0.25">
      <c r="G198" s="40"/>
      <c r="H198" s="40"/>
      <c r="I198" s="40"/>
      <c r="J198" s="40"/>
      <c r="K198" s="40"/>
    </row>
    <row r="199" spans="7:11" x14ac:dyDescent="0.25">
      <c r="G199" s="40"/>
      <c r="H199" s="40"/>
      <c r="I199" s="40"/>
      <c r="J199" s="40"/>
      <c r="K199" s="40"/>
    </row>
    <row r="200" spans="7:11" x14ac:dyDescent="0.25">
      <c r="G200" s="40"/>
      <c r="H200" s="40"/>
      <c r="I200" s="40"/>
      <c r="J200" s="40"/>
      <c r="K200" s="40"/>
    </row>
    <row r="201" spans="7:11" x14ac:dyDescent="0.25">
      <c r="G201" s="40"/>
      <c r="H201" s="40"/>
      <c r="I201" s="40"/>
      <c r="J201" s="40"/>
      <c r="K201" s="40"/>
    </row>
    <row r="202" spans="7:11" x14ac:dyDescent="0.25">
      <c r="G202" s="40"/>
      <c r="H202" s="40"/>
      <c r="I202" s="40"/>
      <c r="J202" s="40"/>
      <c r="K202" s="40"/>
    </row>
    <row r="203" spans="7:11" x14ac:dyDescent="0.25">
      <c r="G203" s="40"/>
      <c r="H203" s="40"/>
      <c r="I203" s="40"/>
      <c r="J203" s="40"/>
      <c r="K203" s="40"/>
    </row>
    <row r="204" spans="7:11" x14ac:dyDescent="0.25">
      <c r="G204" s="40"/>
      <c r="H204" s="40"/>
      <c r="I204" s="40"/>
      <c r="J204" s="40"/>
      <c r="K204" s="40"/>
    </row>
    <row r="205" spans="7:11" x14ac:dyDescent="0.25">
      <c r="G205" s="40"/>
      <c r="H205" s="40"/>
      <c r="I205" s="40"/>
      <c r="J205" s="40"/>
      <c r="K205" s="40"/>
    </row>
    <row r="206" spans="7:11" x14ac:dyDescent="0.25">
      <c r="G206" s="40"/>
      <c r="H206" s="40"/>
      <c r="I206" s="40"/>
      <c r="J206" s="40"/>
      <c r="K206" s="40"/>
    </row>
    <row r="207" spans="7:11" x14ac:dyDescent="0.25">
      <c r="G207" s="40"/>
      <c r="H207" s="40"/>
      <c r="I207" s="40"/>
      <c r="J207" s="40"/>
      <c r="K207" s="40"/>
    </row>
    <row r="208" spans="7:11" x14ac:dyDescent="0.25">
      <c r="G208" s="40"/>
      <c r="H208" s="40"/>
      <c r="I208" s="40"/>
      <c r="J208" s="40"/>
      <c r="K208" s="40"/>
    </row>
    <row r="209" spans="7:11" x14ac:dyDescent="0.25">
      <c r="G209" s="40"/>
      <c r="H209" s="40"/>
      <c r="I209" s="40"/>
      <c r="J209" s="40"/>
      <c r="K209" s="40"/>
    </row>
    <row r="210" spans="7:11" x14ac:dyDescent="0.25">
      <c r="G210" s="40"/>
      <c r="H210" s="40"/>
      <c r="I210" s="40"/>
      <c r="J210" s="40"/>
      <c r="K210" s="40"/>
    </row>
    <row r="211" spans="7:11" x14ac:dyDescent="0.25">
      <c r="G211" s="40"/>
      <c r="H211" s="40"/>
      <c r="I211" s="40"/>
      <c r="J211" s="40"/>
      <c r="K211" s="40"/>
    </row>
    <row r="212" spans="7:11" x14ac:dyDescent="0.25">
      <c r="G212" s="40"/>
      <c r="H212" s="40"/>
      <c r="I212" s="40"/>
      <c r="J212" s="40"/>
      <c r="K212" s="40"/>
    </row>
    <row r="213" spans="7:11" x14ac:dyDescent="0.25">
      <c r="G213" s="40"/>
      <c r="H213" s="40"/>
      <c r="I213" s="40"/>
      <c r="J213" s="40"/>
      <c r="K213" s="40"/>
    </row>
    <row r="214" spans="7:11" x14ac:dyDescent="0.25">
      <c r="G214" s="40"/>
      <c r="H214" s="40"/>
      <c r="I214" s="40"/>
      <c r="J214" s="40"/>
      <c r="K214" s="40"/>
    </row>
    <row r="215" spans="7:11" x14ac:dyDescent="0.25">
      <c r="G215" s="40"/>
      <c r="H215" s="40"/>
      <c r="I215" s="40"/>
      <c r="J215" s="40"/>
      <c r="K215" s="40"/>
    </row>
    <row r="216" spans="7:11" x14ac:dyDescent="0.25">
      <c r="G216" s="40"/>
      <c r="H216" s="40"/>
      <c r="I216" s="40"/>
      <c r="J216" s="40"/>
      <c r="K216" s="40"/>
    </row>
    <row r="217" spans="7:11" x14ac:dyDescent="0.25">
      <c r="G217" s="40"/>
      <c r="H217" s="40"/>
      <c r="I217" s="40"/>
      <c r="J217" s="40"/>
      <c r="K217" s="40"/>
    </row>
    <row r="218" spans="7:11" x14ac:dyDescent="0.25">
      <c r="G218" s="40"/>
      <c r="H218" s="40"/>
      <c r="I218" s="40"/>
      <c r="J218" s="40"/>
      <c r="K218" s="40"/>
    </row>
    <row r="219" spans="7:11" x14ac:dyDescent="0.25">
      <c r="G219" s="40"/>
      <c r="H219" s="40"/>
      <c r="I219" s="40"/>
      <c r="J219" s="40"/>
      <c r="K219" s="40"/>
    </row>
    <row r="220" spans="7:11" x14ac:dyDescent="0.25">
      <c r="G220" s="40"/>
      <c r="H220" s="40"/>
      <c r="I220" s="40"/>
      <c r="J220" s="40"/>
      <c r="K220" s="40"/>
    </row>
    <row r="221" spans="7:11" x14ac:dyDescent="0.25">
      <c r="G221" s="40"/>
      <c r="H221" s="40"/>
      <c r="I221" s="40"/>
      <c r="J221" s="40"/>
      <c r="K221" s="40"/>
    </row>
    <row r="222" spans="7:11" x14ac:dyDescent="0.25">
      <c r="G222" s="40"/>
      <c r="H222" s="40"/>
      <c r="I222" s="40"/>
      <c r="J222" s="40"/>
      <c r="K222" s="40"/>
    </row>
    <row r="223" spans="7:11" x14ac:dyDescent="0.25">
      <c r="G223" s="40"/>
      <c r="H223" s="40"/>
      <c r="I223" s="40"/>
      <c r="J223" s="40"/>
      <c r="K223" s="40"/>
    </row>
    <row r="224" spans="7:11" x14ac:dyDescent="0.25">
      <c r="G224" s="40"/>
      <c r="H224" s="40"/>
      <c r="I224" s="40"/>
      <c r="J224" s="40"/>
      <c r="K224" s="40"/>
    </row>
    <row r="225" spans="7:11" x14ac:dyDescent="0.25">
      <c r="G225" s="40"/>
      <c r="H225" s="40"/>
      <c r="I225" s="40"/>
      <c r="J225" s="40"/>
      <c r="K225" s="40"/>
    </row>
    <row r="226" spans="7:11" x14ac:dyDescent="0.25">
      <c r="G226" s="40"/>
      <c r="H226" s="40"/>
      <c r="I226" s="40"/>
      <c r="J226" s="40"/>
      <c r="K226" s="40"/>
    </row>
    <row r="227" spans="7:11" x14ac:dyDescent="0.25">
      <c r="G227" s="40"/>
      <c r="H227" s="40"/>
      <c r="I227" s="40"/>
      <c r="J227" s="40"/>
      <c r="K227" s="40"/>
    </row>
    <row r="228" spans="7:11" x14ac:dyDescent="0.25">
      <c r="G228" s="40"/>
      <c r="H228" s="40"/>
      <c r="I228" s="40"/>
      <c r="J228" s="40"/>
      <c r="K228" s="40"/>
    </row>
    <row r="229" spans="7:11" x14ac:dyDescent="0.25">
      <c r="G229" s="40"/>
      <c r="H229" s="40"/>
      <c r="I229" s="40"/>
      <c r="J229" s="40"/>
      <c r="K229" s="40"/>
    </row>
    <row r="230" spans="7:11" x14ac:dyDescent="0.25">
      <c r="G230" s="40"/>
      <c r="H230" s="40"/>
      <c r="I230" s="40"/>
      <c r="J230" s="40"/>
      <c r="K230" s="40"/>
    </row>
    <row r="231" spans="7:11" x14ac:dyDescent="0.25">
      <c r="G231" s="40"/>
      <c r="H231" s="40"/>
      <c r="I231" s="40"/>
      <c r="J231" s="40"/>
      <c r="K231" s="40"/>
    </row>
    <row r="232" spans="7:11" x14ac:dyDescent="0.25">
      <c r="G232" s="40"/>
      <c r="H232" s="40"/>
      <c r="I232" s="40"/>
      <c r="J232" s="40"/>
      <c r="K232" s="40"/>
    </row>
    <row r="233" spans="7:11" x14ac:dyDescent="0.25">
      <c r="G233" s="40"/>
      <c r="H233" s="40"/>
      <c r="I233" s="40"/>
      <c r="J233" s="40"/>
      <c r="K233" s="40"/>
    </row>
    <row r="234" spans="7:11" x14ac:dyDescent="0.25">
      <c r="G234" s="40"/>
      <c r="H234" s="40"/>
      <c r="I234" s="40"/>
      <c r="J234" s="40"/>
      <c r="K234" s="40"/>
    </row>
    <row r="235" spans="7:11" x14ac:dyDescent="0.25">
      <c r="G235" s="40"/>
      <c r="H235" s="40"/>
      <c r="I235" s="40"/>
      <c r="J235" s="40"/>
      <c r="K235" s="40"/>
    </row>
    <row r="236" spans="7:11" x14ac:dyDescent="0.25">
      <c r="G236" s="40"/>
      <c r="H236" s="40"/>
      <c r="I236" s="40"/>
      <c r="J236" s="40"/>
      <c r="K236" s="40"/>
    </row>
    <row r="237" spans="7:11" x14ac:dyDescent="0.25">
      <c r="G237" s="40"/>
      <c r="H237" s="40"/>
      <c r="I237" s="40"/>
      <c r="J237" s="40"/>
      <c r="K237" s="40"/>
    </row>
    <row r="238" spans="7:11" x14ac:dyDescent="0.25">
      <c r="G238" s="40"/>
      <c r="H238" s="40"/>
      <c r="I238" s="40"/>
      <c r="J238" s="40"/>
      <c r="K238" s="40"/>
    </row>
    <row r="239" spans="7:11" x14ac:dyDescent="0.25">
      <c r="G239" s="40"/>
      <c r="H239" s="40"/>
      <c r="I239" s="40"/>
      <c r="J239" s="40"/>
      <c r="K239" s="40"/>
    </row>
    <row r="240" spans="7:11" x14ac:dyDescent="0.25">
      <c r="G240" s="40"/>
      <c r="H240" s="40"/>
      <c r="I240" s="40"/>
      <c r="J240" s="40"/>
      <c r="K240" s="40"/>
    </row>
    <row r="241" spans="7:11" x14ac:dyDescent="0.25">
      <c r="G241" s="40"/>
      <c r="H241" s="40"/>
      <c r="I241" s="40"/>
      <c r="J241" s="40"/>
      <c r="K241" s="40"/>
    </row>
    <row r="242" spans="7:11" x14ac:dyDescent="0.25">
      <c r="G242" s="40"/>
      <c r="H242" s="40"/>
      <c r="I242" s="40"/>
      <c r="J242" s="40"/>
      <c r="K242" s="40"/>
    </row>
    <row r="243" spans="7:11" x14ac:dyDescent="0.25">
      <c r="G243" s="40"/>
      <c r="H243" s="40"/>
      <c r="I243" s="40"/>
      <c r="J243" s="40"/>
      <c r="K243" s="40"/>
    </row>
    <row r="244" spans="7:11" x14ac:dyDescent="0.25">
      <c r="G244" s="40"/>
      <c r="H244" s="40"/>
      <c r="I244" s="40"/>
      <c r="J244" s="40"/>
      <c r="K244" s="40"/>
    </row>
    <row r="245" spans="7:11" x14ac:dyDescent="0.25">
      <c r="G245" s="40"/>
      <c r="H245" s="40"/>
      <c r="I245" s="40"/>
      <c r="J245" s="40"/>
      <c r="K245" s="40"/>
    </row>
    <row r="246" spans="7:11" x14ac:dyDescent="0.25">
      <c r="G246" s="40"/>
      <c r="H246" s="40"/>
      <c r="I246" s="40"/>
      <c r="J246" s="40"/>
      <c r="K246" s="40"/>
    </row>
    <row r="247" spans="7:11" x14ac:dyDescent="0.25">
      <c r="G247" s="40"/>
      <c r="H247" s="40"/>
      <c r="I247" s="40"/>
      <c r="J247" s="40"/>
      <c r="K247" s="40"/>
    </row>
    <row r="248" spans="7:11" x14ac:dyDescent="0.25">
      <c r="G248" s="40"/>
      <c r="H248" s="40"/>
      <c r="I248" s="40"/>
      <c r="J248" s="40"/>
      <c r="K248" s="40"/>
    </row>
    <row r="249" spans="7:11" x14ac:dyDescent="0.25">
      <c r="G249" s="40"/>
      <c r="H249" s="40"/>
      <c r="I249" s="40"/>
      <c r="J249" s="40"/>
      <c r="K249" s="40"/>
    </row>
    <row r="250" spans="7:11" x14ac:dyDescent="0.25">
      <c r="G250" s="40"/>
      <c r="H250" s="40"/>
      <c r="I250" s="40"/>
      <c r="J250" s="40"/>
      <c r="K250" s="40"/>
    </row>
    <row r="251" spans="7:11" x14ac:dyDescent="0.25">
      <c r="G251" s="40"/>
      <c r="H251" s="40"/>
      <c r="I251" s="40"/>
      <c r="J251" s="40"/>
      <c r="K251" s="40"/>
    </row>
    <row r="252" spans="7:11" x14ac:dyDescent="0.25">
      <c r="G252" s="40"/>
      <c r="H252" s="40"/>
      <c r="I252" s="40"/>
      <c r="J252" s="40"/>
      <c r="K252" s="40"/>
    </row>
    <row r="253" spans="7:11" x14ac:dyDescent="0.25">
      <c r="G253" s="40"/>
      <c r="H253" s="40"/>
      <c r="I253" s="40"/>
      <c r="J253" s="40"/>
      <c r="K253" s="40"/>
    </row>
    <row r="254" spans="7:11" x14ac:dyDescent="0.25">
      <c r="G254" s="40"/>
      <c r="H254" s="40"/>
      <c r="I254" s="40"/>
      <c r="J254" s="40"/>
      <c r="K254" s="40"/>
    </row>
    <row r="255" spans="7:11" x14ac:dyDescent="0.25">
      <c r="G255" s="40"/>
      <c r="H255" s="40"/>
      <c r="I255" s="40"/>
      <c r="J255" s="40"/>
      <c r="K255" s="40"/>
    </row>
    <row r="256" spans="7:11" x14ac:dyDescent="0.25">
      <c r="G256" s="40"/>
      <c r="H256" s="40"/>
      <c r="I256" s="40"/>
      <c r="J256" s="40"/>
      <c r="K256" s="40"/>
    </row>
    <row r="257" spans="7:11" x14ac:dyDescent="0.25">
      <c r="G257" s="40"/>
      <c r="H257" s="40"/>
      <c r="I257" s="40"/>
      <c r="J257" s="40"/>
      <c r="K257" s="40"/>
    </row>
    <row r="258" spans="7:11" x14ac:dyDescent="0.25">
      <c r="G258" s="40"/>
      <c r="H258" s="40"/>
      <c r="I258" s="40"/>
      <c r="J258" s="40"/>
      <c r="K258" s="40"/>
    </row>
  </sheetData>
  <mergeCells count="12">
    <mergeCell ref="A17:D17"/>
    <mergeCell ref="A8:D8"/>
    <mergeCell ref="G2:K2"/>
    <mergeCell ref="A2:D2"/>
    <mergeCell ref="A5:D5"/>
    <mergeCell ref="A11:D11"/>
    <mergeCell ref="A14:D14"/>
    <mergeCell ref="I3:I4"/>
    <mergeCell ref="J3:J4"/>
    <mergeCell ref="K3:K4"/>
    <mergeCell ref="H3:H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0"/>
  <sheetViews>
    <sheetView workbookViewId="0">
      <selection activeCell="L7" sqref="L7:N7"/>
    </sheetView>
  </sheetViews>
  <sheetFormatPr defaultRowHeight="15" x14ac:dyDescent="0.25"/>
  <cols>
    <col min="1" max="4" width="9.140625" style="2"/>
    <col min="5" max="6" width="9.140625" style="2" customWidth="1"/>
    <col min="7" max="7" width="20.5703125" style="2" bestFit="1" customWidth="1"/>
    <col min="8" max="8" width="10.85546875" style="2" customWidth="1"/>
    <col min="9" max="9" width="13.5703125" style="2" bestFit="1" customWidth="1"/>
    <col min="10" max="10" width="2.140625" style="2" customWidth="1"/>
    <col min="11" max="11" width="9.140625" style="2" customWidth="1"/>
    <col min="12" max="16384" width="9.140625" style="2"/>
  </cols>
  <sheetData>
    <row r="1" spans="1:14" x14ac:dyDescent="0.25">
      <c r="A1" s="1" t="s">
        <v>0</v>
      </c>
      <c r="L1" s="2" t="s">
        <v>681</v>
      </c>
    </row>
    <row r="2" spans="1:14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L2" s="2" t="s">
        <v>889</v>
      </c>
      <c r="M2" s="2" t="s">
        <v>890</v>
      </c>
      <c r="N2" s="2" t="s">
        <v>891</v>
      </c>
    </row>
    <row r="3" spans="1:14" x14ac:dyDescent="0.25">
      <c r="A3">
        <v>1</v>
      </c>
      <c r="B3" s="4">
        <f t="shared" ref="B3:B40" si="0">C3/1000</f>
        <v>0.02</v>
      </c>
      <c r="C3">
        <v>20</v>
      </c>
      <c r="D3" s="2">
        <v>153</v>
      </c>
      <c r="E3">
        <v>0.46779999999999999</v>
      </c>
      <c r="F3" s="5" t="s">
        <v>11</v>
      </c>
      <c r="G3" t="s">
        <v>12</v>
      </c>
      <c r="H3" s="6">
        <v>42128</v>
      </c>
      <c r="I3" s="6">
        <v>51501</v>
      </c>
      <c r="J3" s="3"/>
      <c r="L3" s="2">
        <v>1</v>
      </c>
      <c r="M3" s="2">
        <v>32.68</v>
      </c>
      <c r="N3" s="2">
        <v>5.4531999999999998</v>
      </c>
    </row>
    <row r="4" spans="1:14" x14ac:dyDescent="0.25">
      <c r="A4">
        <v>1</v>
      </c>
      <c r="B4" s="4">
        <f t="shared" si="0"/>
        <v>2.9000000000000001E-2</v>
      </c>
      <c r="C4">
        <v>29</v>
      </c>
      <c r="D4" s="2">
        <v>153</v>
      </c>
      <c r="E4">
        <v>0.6774</v>
      </c>
      <c r="F4" s="5" t="s">
        <v>13</v>
      </c>
      <c r="G4" t="s">
        <v>14</v>
      </c>
      <c r="H4" s="6">
        <v>42128</v>
      </c>
      <c r="I4" s="6">
        <v>51501</v>
      </c>
      <c r="J4" s="3"/>
      <c r="L4" s="2">
        <v>2</v>
      </c>
      <c r="M4" s="2">
        <v>49.02</v>
      </c>
      <c r="N4" s="2">
        <v>8.1798999999999999</v>
      </c>
    </row>
    <row r="5" spans="1:14" x14ac:dyDescent="0.25">
      <c r="A5">
        <v>1</v>
      </c>
      <c r="B5" s="4">
        <f t="shared" si="0"/>
        <v>0.03</v>
      </c>
      <c r="C5">
        <v>30</v>
      </c>
      <c r="D5" s="2">
        <v>153</v>
      </c>
      <c r="E5">
        <v>0.70150000000000001</v>
      </c>
      <c r="F5" s="5" t="s">
        <v>15</v>
      </c>
      <c r="G5" t="s">
        <v>16</v>
      </c>
      <c r="H5" s="6">
        <v>42128</v>
      </c>
      <c r="I5" s="6">
        <v>51501</v>
      </c>
      <c r="J5" s="3"/>
      <c r="L5" s="2">
        <v>3</v>
      </c>
      <c r="M5" s="2">
        <v>65.36</v>
      </c>
      <c r="N5" s="2">
        <v>10.906499999999999</v>
      </c>
    </row>
    <row r="6" spans="1:14" x14ac:dyDescent="0.25">
      <c r="A6">
        <v>1</v>
      </c>
      <c r="B6" s="4">
        <f t="shared" si="0"/>
        <v>0.04</v>
      </c>
      <c r="C6">
        <v>40</v>
      </c>
      <c r="D6" s="2">
        <v>153</v>
      </c>
      <c r="E6">
        <v>0.93530000000000002</v>
      </c>
      <c r="F6" s="5" t="s">
        <v>17</v>
      </c>
      <c r="G6" t="s">
        <v>18</v>
      </c>
      <c r="H6" s="6">
        <v>42128</v>
      </c>
      <c r="I6" s="6">
        <v>51501</v>
      </c>
      <c r="J6" s="3"/>
      <c r="L6" s="2">
        <v>4</v>
      </c>
      <c r="M6" s="2">
        <v>81.7</v>
      </c>
      <c r="N6" s="2">
        <v>13.633100000000001</v>
      </c>
    </row>
    <row r="7" spans="1:14" x14ac:dyDescent="0.25">
      <c r="A7">
        <v>1</v>
      </c>
      <c r="B7" s="4">
        <f t="shared" si="0"/>
        <v>0.05</v>
      </c>
      <c r="C7">
        <v>50</v>
      </c>
      <c r="D7" s="2">
        <v>153</v>
      </c>
      <c r="E7">
        <v>1.1695</v>
      </c>
      <c r="F7" s="5" t="s">
        <v>19</v>
      </c>
      <c r="G7" t="s">
        <v>20</v>
      </c>
      <c r="H7" s="6">
        <v>42128</v>
      </c>
      <c r="I7" s="6">
        <v>51501</v>
      </c>
      <c r="J7" s="3"/>
    </row>
    <row r="8" spans="1:14" x14ac:dyDescent="0.25">
      <c r="A8">
        <v>1</v>
      </c>
      <c r="B8" s="4">
        <f t="shared" si="0"/>
        <v>0.1</v>
      </c>
      <c r="C8">
        <v>100</v>
      </c>
      <c r="D8" s="2">
        <v>153</v>
      </c>
      <c r="E8">
        <v>2.3388</v>
      </c>
      <c r="F8" s="5" t="s">
        <v>21</v>
      </c>
      <c r="G8" t="s">
        <v>22</v>
      </c>
      <c r="H8" s="6">
        <v>42128</v>
      </c>
      <c r="I8" s="6">
        <v>51501</v>
      </c>
      <c r="J8" s="3"/>
    </row>
    <row r="9" spans="1:14" x14ac:dyDescent="0.25">
      <c r="A9">
        <v>1</v>
      </c>
      <c r="B9" s="4">
        <f t="shared" si="0"/>
        <v>0.2</v>
      </c>
      <c r="C9">
        <v>200</v>
      </c>
      <c r="D9" s="2">
        <v>153</v>
      </c>
      <c r="E9">
        <v>4.0365000000000002</v>
      </c>
      <c r="F9" s="5" t="s">
        <v>23</v>
      </c>
      <c r="G9" t="s">
        <v>24</v>
      </c>
      <c r="H9" s="6">
        <v>42128</v>
      </c>
      <c r="I9" s="6">
        <v>51501</v>
      </c>
      <c r="J9" s="3"/>
    </row>
    <row r="10" spans="1:14" x14ac:dyDescent="0.25">
      <c r="A10">
        <v>1</v>
      </c>
      <c r="B10" s="4">
        <f t="shared" si="0"/>
        <v>0.25</v>
      </c>
      <c r="C10">
        <v>250</v>
      </c>
      <c r="D10" s="2">
        <v>153</v>
      </c>
      <c r="E10">
        <v>5.0456000000000003</v>
      </c>
      <c r="F10" s="5" t="s">
        <v>25</v>
      </c>
      <c r="G10" t="s">
        <v>26</v>
      </c>
      <c r="H10" s="6">
        <v>42128</v>
      </c>
      <c r="I10" s="6">
        <v>51501</v>
      </c>
      <c r="J10" s="3"/>
    </row>
    <row r="11" spans="1:14" x14ac:dyDescent="0.25">
      <c r="A11">
        <v>1</v>
      </c>
      <c r="B11" s="4">
        <f t="shared" si="0"/>
        <v>0.3</v>
      </c>
      <c r="C11">
        <v>300</v>
      </c>
      <c r="D11" s="2">
        <v>153</v>
      </c>
      <c r="E11">
        <v>6.0541999999999998</v>
      </c>
      <c r="F11" s="5" t="s">
        <v>27</v>
      </c>
      <c r="G11" t="s">
        <v>28</v>
      </c>
      <c r="H11" s="6">
        <v>42128</v>
      </c>
      <c r="I11" s="6">
        <v>51501</v>
      </c>
      <c r="J11" s="3"/>
    </row>
    <row r="12" spans="1:14" x14ac:dyDescent="0.25">
      <c r="A12">
        <v>1</v>
      </c>
      <c r="B12" s="4">
        <f t="shared" si="0"/>
        <v>0.34100000000000003</v>
      </c>
      <c r="C12">
        <v>341</v>
      </c>
      <c r="D12" s="2">
        <v>153</v>
      </c>
      <c r="E12">
        <v>6.8818999999999999</v>
      </c>
      <c r="F12" s="5" t="s">
        <v>29</v>
      </c>
      <c r="G12" t="s">
        <v>30</v>
      </c>
      <c r="H12" s="6">
        <v>42128</v>
      </c>
      <c r="I12" s="6">
        <v>51501</v>
      </c>
      <c r="J12" s="3"/>
    </row>
    <row r="13" spans="1:14" x14ac:dyDescent="0.25">
      <c r="A13">
        <v>1</v>
      </c>
      <c r="B13" s="4">
        <f t="shared" si="0"/>
        <v>0.35</v>
      </c>
      <c r="C13">
        <v>350</v>
      </c>
      <c r="D13" s="2">
        <v>153</v>
      </c>
      <c r="E13">
        <v>6.9202000000000004</v>
      </c>
      <c r="F13" s="5" t="s">
        <v>31</v>
      </c>
      <c r="G13" t="s">
        <v>32</v>
      </c>
      <c r="H13" s="6">
        <v>42128</v>
      </c>
      <c r="I13" s="6">
        <v>51501</v>
      </c>
      <c r="J13" s="3"/>
    </row>
    <row r="14" spans="1:14" x14ac:dyDescent="0.25">
      <c r="A14">
        <v>1</v>
      </c>
      <c r="B14" s="4">
        <f t="shared" si="0"/>
        <v>0.36</v>
      </c>
      <c r="C14">
        <v>360</v>
      </c>
      <c r="D14" s="2">
        <v>153</v>
      </c>
      <c r="E14">
        <v>7.1013999999999999</v>
      </c>
      <c r="F14" s="5" t="s">
        <v>33</v>
      </c>
      <c r="G14" t="s">
        <v>34</v>
      </c>
      <c r="H14" s="6">
        <v>42128</v>
      </c>
      <c r="I14" s="6">
        <v>51501</v>
      </c>
      <c r="J14" s="3"/>
    </row>
    <row r="15" spans="1:14" x14ac:dyDescent="0.25">
      <c r="A15">
        <v>1</v>
      </c>
      <c r="B15" s="4">
        <f t="shared" si="0"/>
        <v>0.375</v>
      </c>
      <c r="C15">
        <v>375</v>
      </c>
      <c r="D15" s="2">
        <v>153</v>
      </c>
      <c r="E15">
        <v>7.4157999999999999</v>
      </c>
      <c r="F15" s="5" t="s">
        <v>35</v>
      </c>
      <c r="G15" t="s">
        <v>36</v>
      </c>
      <c r="H15" s="6">
        <v>42128</v>
      </c>
      <c r="I15" s="6">
        <v>51501</v>
      </c>
      <c r="J15" s="3"/>
    </row>
    <row r="16" spans="1:14" x14ac:dyDescent="0.25">
      <c r="A16">
        <v>1</v>
      </c>
      <c r="B16" s="4">
        <f t="shared" si="0"/>
        <v>0.45</v>
      </c>
      <c r="C16">
        <v>450</v>
      </c>
      <c r="D16" s="2">
        <v>153</v>
      </c>
      <c r="E16">
        <v>9.0820000000000007</v>
      </c>
      <c r="F16" s="5" t="s">
        <v>37</v>
      </c>
      <c r="G16" t="s">
        <v>38</v>
      </c>
      <c r="H16" s="6">
        <v>42128</v>
      </c>
      <c r="I16" s="6">
        <v>51501</v>
      </c>
      <c r="J16" s="3"/>
    </row>
    <row r="17" spans="1:11" x14ac:dyDescent="0.25">
      <c r="A17">
        <v>1</v>
      </c>
      <c r="B17" s="4">
        <f t="shared" si="0"/>
        <v>0.48</v>
      </c>
      <c r="C17">
        <v>480</v>
      </c>
      <c r="D17" s="2">
        <v>153</v>
      </c>
      <c r="E17">
        <v>9.5894999999999992</v>
      </c>
      <c r="F17" s="5" t="s">
        <v>39</v>
      </c>
      <c r="G17" t="s">
        <v>40</v>
      </c>
      <c r="H17" s="6">
        <v>42600</v>
      </c>
      <c r="I17" s="6">
        <v>51501</v>
      </c>
      <c r="J17" s="3"/>
    </row>
    <row r="18" spans="1:11" x14ac:dyDescent="0.25">
      <c r="A18">
        <v>1</v>
      </c>
      <c r="B18" s="4">
        <f t="shared" si="0"/>
        <v>0.5</v>
      </c>
      <c r="C18">
        <v>500</v>
      </c>
      <c r="D18" s="2">
        <v>153</v>
      </c>
      <c r="E18">
        <v>9.8862000000000005</v>
      </c>
      <c r="F18" s="5" t="s">
        <v>41</v>
      </c>
      <c r="G18" t="s">
        <v>42</v>
      </c>
      <c r="H18" s="6">
        <v>42128</v>
      </c>
      <c r="I18" s="6">
        <v>51501</v>
      </c>
      <c r="J18" s="3"/>
      <c r="K18" s="1"/>
    </row>
    <row r="19" spans="1:11" x14ac:dyDescent="0.25">
      <c r="A19">
        <v>1</v>
      </c>
      <c r="B19" s="4">
        <f t="shared" si="0"/>
        <v>0.68</v>
      </c>
      <c r="C19">
        <v>680</v>
      </c>
      <c r="D19" s="2">
        <v>153</v>
      </c>
      <c r="E19">
        <v>12.2324</v>
      </c>
      <c r="F19" s="5" t="s">
        <v>43</v>
      </c>
      <c r="G19" t="s">
        <v>44</v>
      </c>
      <c r="H19" s="6">
        <v>42128</v>
      </c>
      <c r="I19" s="6">
        <v>51501</v>
      </c>
      <c r="J19" s="3"/>
      <c r="K19"/>
    </row>
    <row r="20" spans="1:11" customFormat="1" x14ac:dyDescent="0.25">
      <c r="A20">
        <v>1</v>
      </c>
      <c r="B20" s="4">
        <f t="shared" si="0"/>
        <v>0.7</v>
      </c>
      <c r="C20">
        <v>700</v>
      </c>
      <c r="D20" s="2">
        <v>153</v>
      </c>
      <c r="E20">
        <v>12.593500000000001</v>
      </c>
      <c r="F20" s="5" t="s">
        <v>45</v>
      </c>
      <c r="G20" t="s">
        <v>46</v>
      </c>
      <c r="H20" s="6">
        <v>42128</v>
      </c>
      <c r="I20" s="6">
        <v>51501</v>
      </c>
      <c r="J20" s="3"/>
    </row>
    <row r="21" spans="1:11" customFormat="1" x14ac:dyDescent="0.25">
      <c r="A21">
        <v>1</v>
      </c>
      <c r="B21" s="4">
        <f t="shared" si="0"/>
        <v>0.71</v>
      </c>
      <c r="C21">
        <v>710</v>
      </c>
      <c r="D21" s="2">
        <v>153</v>
      </c>
      <c r="E21">
        <v>12.7719</v>
      </c>
      <c r="F21" s="5" t="s">
        <v>47</v>
      </c>
      <c r="G21" t="s">
        <v>48</v>
      </c>
      <c r="H21" s="6">
        <v>42128</v>
      </c>
      <c r="I21" s="6">
        <v>51501</v>
      </c>
      <c r="J21" s="3"/>
    </row>
    <row r="22" spans="1:11" customFormat="1" x14ac:dyDescent="0.25">
      <c r="A22">
        <v>1</v>
      </c>
      <c r="B22" s="4">
        <f t="shared" si="0"/>
        <v>0.72</v>
      </c>
      <c r="C22">
        <v>720</v>
      </c>
      <c r="D22" s="2">
        <v>153</v>
      </c>
      <c r="E22">
        <v>12.9511</v>
      </c>
      <c r="F22" s="5" t="s">
        <v>49</v>
      </c>
      <c r="G22" t="s">
        <v>50</v>
      </c>
      <c r="H22" s="6">
        <v>42128</v>
      </c>
      <c r="I22" s="6">
        <v>51501</v>
      </c>
      <c r="J22" s="3"/>
    </row>
    <row r="23" spans="1:11" customFormat="1" x14ac:dyDescent="0.25">
      <c r="A23">
        <v>1</v>
      </c>
      <c r="B23" s="4">
        <f t="shared" si="0"/>
        <v>0.73</v>
      </c>
      <c r="C23">
        <v>730</v>
      </c>
      <c r="D23" s="2">
        <v>153</v>
      </c>
      <c r="E23">
        <v>13.131399999999999</v>
      </c>
      <c r="F23" s="5" t="s">
        <v>51</v>
      </c>
      <c r="G23" t="s">
        <v>52</v>
      </c>
      <c r="H23" s="6">
        <v>42128</v>
      </c>
      <c r="I23" s="6">
        <v>51501</v>
      </c>
      <c r="J23" s="3"/>
    </row>
    <row r="24" spans="1:11" customFormat="1" x14ac:dyDescent="0.25">
      <c r="A24">
        <v>1</v>
      </c>
      <c r="B24" s="4">
        <f t="shared" si="0"/>
        <v>0.75</v>
      </c>
      <c r="C24">
        <v>750</v>
      </c>
      <c r="D24" s="2">
        <v>153</v>
      </c>
      <c r="E24">
        <v>13.493</v>
      </c>
      <c r="F24" s="5" t="s">
        <v>53</v>
      </c>
      <c r="G24" t="s">
        <v>54</v>
      </c>
      <c r="H24" s="6">
        <v>42128</v>
      </c>
      <c r="I24" s="6">
        <v>51501</v>
      </c>
      <c r="J24" s="3"/>
    </row>
    <row r="25" spans="1:11" customFormat="1" x14ac:dyDescent="0.25">
      <c r="A25">
        <v>1</v>
      </c>
      <c r="B25" s="4">
        <f t="shared" si="0"/>
        <v>1</v>
      </c>
      <c r="C25">
        <v>1000</v>
      </c>
      <c r="D25" s="2">
        <v>153</v>
      </c>
      <c r="E25">
        <v>16.686800000000002</v>
      </c>
      <c r="F25" s="5" t="s">
        <v>55</v>
      </c>
      <c r="G25" t="s">
        <v>56</v>
      </c>
      <c r="H25" s="6">
        <v>42128</v>
      </c>
      <c r="I25" s="6">
        <v>51501</v>
      </c>
      <c r="J25" s="3"/>
    </row>
    <row r="26" spans="1:11" customFormat="1" x14ac:dyDescent="0.25">
      <c r="A26">
        <v>1</v>
      </c>
      <c r="B26" s="4">
        <f t="shared" si="0"/>
        <v>1.1399999999999999</v>
      </c>
      <c r="C26">
        <v>1140</v>
      </c>
      <c r="D26" s="2">
        <v>153</v>
      </c>
      <c r="E26">
        <v>19.915400000000002</v>
      </c>
      <c r="F26" s="5" t="s">
        <v>57</v>
      </c>
      <c r="G26" t="s">
        <v>58</v>
      </c>
      <c r="H26" s="6">
        <v>42128</v>
      </c>
      <c r="I26" s="6">
        <v>51501</v>
      </c>
      <c r="J26" s="3"/>
    </row>
    <row r="27" spans="1:11" customFormat="1" x14ac:dyDescent="0.25">
      <c r="A27">
        <v>1</v>
      </c>
      <c r="B27" s="4">
        <f t="shared" si="0"/>
        <v>1.5</v>
      </c>
      <c r="C27">
        <v>1500</v>
      </c>
      <c r="D27" s="2">
        <v>153</v>
      </c>
      <c r="E27">
        <v>25.8264</v>
      </c>
      <c r="F27" s="5" t="s">
        <v>59</v>
      </c>
      <c r="G27" t="s">
        <v>60</v>
      </c>
      <c r="H27" s="6">
        <v>42128</v>
      </c>
      <c r="I27" s="6">
        <v>51501</v>
      </c>
      <c r="J27" s="3"/>
    </row>
    <row r="28" spans="1:11" customFormat="1" x14ac:dyDescent="0.25">
      <c r="A28">
        <v>1</v>
      </c>
      <c r="B28" s="4">
        <f t="shared" si="0"/>
        <v>1.75</v>
      </c>
      <c r="C28">
        <v>1750</v>
      </c>
      <c r="D28" s="2">
        <v>153</v>
      </c>
      <c r="E28">
        <v>30.132999999999999</v>
      </c>
      <c r="F28" s="5" t="s">
        <v>61</v>
      </c>
      <c r="G28" t="s">
        <v>62</v>
      </c>
      <c r="H28" s="6">
        <v>42128</v>
      </c>
      <c r="I28" s="6">
        <v>51501</v>
      </c>
      <c r="J28" s="3"/>
    </row>
    <row r="29" spans="1:11" customFormat="1" x14ac:dyDescent="0.25">
      <c r="A29">
        <v>1</v>
      </c>
      <c r="B29" s="4">
        <f t="shared" si="0"/>
        <v>2</v>
      </c>
      <c r="C29">
        <v>2000</v>
      </c>
      <c r="D29" s="2">
        <v>153</v>
      </c>
      <c r="E29">
        <v>34.436</v>
      </c>
      <c r="F29" s="5" t="s">
        <v>63</v>
      </c>
      <c r="G29" t="s">
        <v>64</v>
      </c>
      <c r="H29" s="6">
        <v>42128</v>
      </c>
      <c r="I29" s="6">
        <v>51501</v>
      </c>
      <c r="J29" s="3"/>
    </row>
    <row r="30" spans="1:11" customFormat="1" x14ac:dyDescent="0.25">
      <c r="A30">
        <v>1</v>
      </c>
      <c r="B30" s="4">
        <f t="shared" si="0"/>
        <v>2</v>
      </c>
      <c r="C30">
        <v>2000</v>
      </c>
      <c r="D30" s="2">
        <v>153</v>
      </c>
      <c r="E30">
        <v>32.815100000000001</v>
      </c>
      <c r="F30" s="5" t="s">
        <v>65</v>
      </c>
      <c r="G30" t="s">
        <v>66</v>
      </c>
      <c r="H30" s="6">
        <v>42128</v>
      </c>
      <c r="I30" s="6">
        <v>51501</v>
      </c>
      <c r="J30" s="3"/>
    </row>
    <row r="31" spans="1:11" customFormat="1" x14ac:dyDescent="0.25">
      <c r="A31">
        <v>1</v>
      </c>
      <c r="B31" s="4">
        <f t="shared" si="0"/>
        <v>2.5</v>
      </c>
      <c r="C31">
        <v>2500</v>
      </c>
      <c r="D31" s="2">
        <v>153</v>
      </c>
      <c r="E31">
        <v>43.043599999999998</v>
      </c>
      <c r="F31" s="5" t="s">
        <v>67</v>
      </c>
      <c r="G31" t="s">
        <v>68</v>
      </c>
      <c r="H31" s="6">
        <v>42128</v>
      </c>
      <c r="I31" s="6">
        <v>51501</v>
      </c>
      <c r="J31" s="3"/>
    </row>
    <row r="32" spans="1:11" customFormat="1" x14ac:dyDescent="0.25">
      <c r="A32">
        <v>1</v>
      </c>
      <c r="B32" s="4">
        <f t="shared" si="0"/>
        <v>3</v>
      </c>
      <c r="C32">
        <v>3000</v>
      </c>
      <c r="D32" s="2">
        <v>153</v>
      </c>
      <c r="E32">
        <v>49.455100000000002</v>
      </c>
      <c r="F32" s="5" t="s">
        <v>69</v>
      </c>
      <c r="G32" t="s">
        <v>70</v>
      </c>
      <c r="H32" s="6">
        <v>42128</v>
      </c>
      <c r="I32" s="6">
        <v>51501</v>
      </c>
      <c r="J32" s="3"/>
    </row>
    <row r="33" spans="1:11" customFormat="1" x14ac:dyDescent="0.25">
      <c r="A33">
        <v>1</v>
      </c>
      <c r="B33" s="4">
        <f t="shared" si="0"/>
        <v>3.75</v>
      </c>
      <c r="C33">
        <v>3750</v>
      </c>
      <c r="D33" s="2">
        <v>153</v>
      </c>
      <c r="E33">
        <v>60.375</v>
      </c>
      <c r="F33" s="5" t="s">
        <v>71</v>
      </c>
      <c r="G33" t="s">
        <v>72</v>
      </c>
      <c r="H33" s="6">
        <v>42128</v>
      </c>
      <c r="I33" s="6">
        <v>51501</v>
      </c>
      <c r="J33" s="3"/>
    </row>
    <row r="34" spans="1:11" customFormat="1" x14ac:dyDescent="0.25">
      <c r="A34">
        <v>1</v>
      </c>
      <c r="B34" s="4">
        <f t="shared" si="0"/>
        <v>3.78</v>
      </c>
      <c r="C34">
        <v>3780</v>
      </c>
      <c r="D34" s="2">
        <v>153</v>
      </c>
      <c r="E34">
        <v>60.855600000000003</v>
      </c>
      <c r="F34" s="5" t="s">
        <v>73</v>
      </c>
      <c r="G34" t="s">
        <v>74</v>
      </c>
      <c r="H34" s="6">
        <v>42128</v>
      </c>
      <c r="I34" s="6">
        <v>51501</v>
      </c>
      <c r="J34" s="3"/>
    </row>
    <row r="35" spans="1:11" customFormat="1" x14ac:dyDescent="0.25">
      <c r="A35">
        <v>1</v>
      </c>
      <c r="B35" s="4">
        <f t="shared" si="0"/>
        <v>3.7850000000000001</v>
      </c>
      <c r="C35">
        <v>3785</v>
      </c>
      <c r="D35" s="2">
        <v>153</v>
      </c>
      <c r="E35">
        <v>60.934600000000003</v>
      </c>
      <c r="F35" s="5" t="s">
        <v>75</v>
      </c>
      <c r="G35" t="s">
        <v>76</v>
      </c>
      <c r="H35" s="6">
        <v>42128</v>
      </c>
      <c r="I35" s="6">
        <v>51501</v>
      </c>
      <c r="J35" s="3"/>
    </row>
    <row r="36" spans="1:11" customFormat="1" x14ac:dyDescent="0.25">
      <c r="A36">
        <v>1</v>
      </c>
      <c r="B36" s="4">
        <f t="shared" si="0"/>
        <v>3.786</v>
      </c>
      <c r="C36">
        <v>3786</v>
      </c>
      <c r="D36" s="2">
        <v>153</v>
      </c>
      <c r="E36">
        <v>60.951799999999999</v>
      </c>
      <c r="F36" s="5" t="s">
        <v>77</v>
      </c>
      <c r="G36" t="s">
        <v>78</v>
      </c>
      <c r="H36" s="6">
        <v>42128</v>
      </c>
      <c r="I36" s="6">
        <v>51501</v>
      </c>
      <c r="J36" s="3"/>
    </row>
    <row r="37" spans="1:11" customFormat="1" x14ac:dyDescent="0.25">
      <c r="A37">
        <v>1</v>
      </c>
      <c r="B37" s="4">
        <f t="shared" si="0"/>
        <v>3.79</v>
      </c>
      <c r="C37">
        <v>3790</v>
      </c>
      <c r="D37" s="2">
        <v>153</v>
      </c>
      <c r="E37">
        <v>61.015099999999997</v>
      </c>
      <c r="F37" s="5" t="s">
        <v>79</v>
      </c>
      <c r="G37" t="s">
        <v>80</v>
      </c>
      <c r="H37" s="6">
        <v>42128</v>
      </c>
      <c r="I37" s="6">
        <v>51501</v>
      </c>
      <c r="J37" s="3"/>
    </row>
    <row r="38" spans="1:11" customFormat="1" x14ac:dyDescent="0.25">
      <c r="A38">
        <v>1</v>
      </c>
      <c r="B38" s="4">
        <f t="shared" si="0"/>
        <v>4</v>
      </c>
      <c r="C38">
        <v>4000</v>
      </c>
      <c r="D38" s="2">
        <v>153</v>
      </c>
      <c r="E38">
        <v>64.397900000000007</v>
      </c>
      <c r="F38" s="5" t="s">
        <v>81</v>
      </c>
      <c r="G38" t="s">
        <v>82</v>
      </c>
      <c r="H38" s="6">
        <v>42128</v>
      </c>
      <c r="I38" s="6">
        <v>51501</v>
      </c>
      <c r="J38" s="3"/>
    </row>
    <row r="39" spans="1:11" customFormat="1" x14ac:dyDescent="0.25">
      <c r="A39">
        <v>1</v>
      </c>
      <c r="B39" s="4">
        <f t="shared" si="0"/>
        <v>4.5</v>
      </c>
      <c r="C39">
        <v>4500</v>
      </c>
      <c r="D39" s="2">
        <v>153</v>
      </c>
      <c r="E39">
        <v>72.590100000000007</v>
      </c>
      <c r="F39" s="5" t="s">
        <v>83</v>
      </c>
      <c r="G39" t="s">
        <v>84</v>
      </c>
      <c r="H39" s="6">
        <v>42128</v>
      </c>
      <c r="I39" s="6">
        <v>51501</v>
      </c>
      <c r="J39" s="3"/>
    </row>
    <row r="40" spans="1:11" x14ac:dyDescent="0.25">
      <c r="A40">
        <v>1</v>
      </c>
      <c r="B40" s="4">
        <f t="shared" si="0"/>
        <v>5</v>
      </c>
      <c r="C40">
        <v>5000</v>
      </c>
      <c r="D40" s="2">
        <v>153</v>
      </c>
      <c r="E40">
        <v>80.655500000000004</v>
      </c>
      <c r="F40" s="5" t="s">
        <v>85</v>
      </c>
      <c r="G40" t="s">
        <v>86</v>
      </c>
      <c r="H40" s="6">
        <v>42128</v>
      </c>
      <c r="I40" s="6">
        <v>51501</v>
      </c>
      <c r="J40" s="3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 s="1" t="s">
        <v>0</v>
      </c>
      <c r="J42"/>
      <c r="K42"/>
    </row>
    <row r="43" spans="1:11" x14ac:dyDescent="0.25">
      <c r="A43" s="1" t="s">
        <v>1</v>
      </c>
      <c r="B43" s="1" t="s">
        <v>2</v>
      </c>
      <c r="C43" s="1" t="s">
        <v>3</v>
      </c>
      <c r="D43" s="1" t="s">
        <v>87</v>
      </c>
      <c r="E43" s="1" t="s">
        <v>4</v>
      </c>
      <c r="F43" s="1" t="s">
        <v>5</v>
      </c>
      <c r="G43" s="1" t="s">
        <v>6</v>
      </c>
      <c r="H43" s="1" t="s">
        <v>7</v>
      </c>
      <c r="I43" s="1" t="s">
        <v>8</v>
      </c>
      <c r="J43" s="1" t="s">
        <v>9</v>
      </c>
      <c r="K43"/>
    </row>
    <row r="44" spans="1:11" x14ac:dyDescent="0.25">
      <c r="A44">
        <v>2</v>
      </c>
      <c r="B44" s="4">
        <f t="shared" ref="B44:B70" si="1">C44/1000</f>
        <v>0.375</v>
      </c>
      <c r="C44">
        <v>375</v>
      </c>
      <c r="D44" s="4">
        <f t="shared" ref="D44:D70" si="2">A44*B44</f>
        <v>0.75</v>
      </c>
      <c r="E44" s="2">
        <v>153</v>
      </c>
      <c r="F44">
        <v>14.8307</v>
      </c>
      <c r="G44" s="5" t="s">
        <v>88</v>
      </c>
      <c r="H44" t="s">
        <v>89</v>
      </c>
      <c r="I44" s="6">
        <v>42128</v>
      </c>
      <c r="J44" s="6">
        <v>51501</v>
      </c>
      <c r="K44"/>
    </row>
    <row r="45" spans="1:11" x14ac:dyDescent="0.25">
      <c r="A45">
        <v>2</v>
      </c>
      <c r="B45" s="4">
        <f t="shared" si="1"/>
        <v>0.2</v>
      </c>
      <c r="C45">
        <v>200</v>
      </c>
      <c r="D45" s="4">
        <f t="shared" si="2"/>
        <v>0.4</v>
      </c>
      <c r="E45" s="2">
        <v>153</v>
      </c>
      <c r="F45">
        <v>8.0717999999999996</v>
      </c>
      <c r="G45" s="5" t="s">
        <v>90</v>
      </c>
      <c r="H45" t="s">
        <v>91</v>
      </c>
      <c r="I45" s="6">
        <v>42083</v>
      </c>
      <c r="J45" s="6">
        <v>51501</v>
      </c>
      <c r="K45"/>
    </row>
    <row r="46" spans="1:11" x14ac:dyDescent="0.25">
      <c r="A46">
        <v>2</v>
      </c>
      <c r="B46" s="4">
        <f t="shared" si="1"/>
        <v>0.375</v>
      </c>
      <c r="C46">
        <v>375</v>
      </c>
      <c r="D46" s="4">
        <f t="shared" si="2"/>
        <v>0.75</v>
      </c>
      <c r="E46" s="2">
        <v>153</v>
      </c>
      <c r="F46">
        <v>14.833500000000001</v>
      </c>
      <c r="G46" s="5" t="s">
        <v>92</v>
      </c>
      <c r="H46" t="s">
        <v>93</v>
      </c>
      <c r="I46" s="6">
        <v>42128</v>
      </c>
      <c r="J46" s="6">
        <v>51501</v>
      </c>
      <c r="K46"/>
    </row>
    <row r="47" spans="1:11" x14ac:dyDescent="0.25">
      <c r="A47">
        <v>3</v>
      </c>
      <c r="B47" s="4">
        <f t="shared" si="1"/>
        <v>0.02</v>
      </c>
      <c r="C47">
        <v>20</v>
      </c>
      <c r="D47" s="4">
        <f t="shared" si="2"/>
        <v>0.06</v>
      </c>
      <c r="E47" s="2">
        <v>153</v>
      </c>
      <c r="F47">
        <v>1.4033</v>
      </c>
      <c r="G47" s="5" t="s">
        <v>94</v>
      </c>
      <c r="H47" t="s">
        <v>95</v>
      </c>
      <c r="I47" s="6">
        <v>42128</v>
      </c>
      <c r="J47" s="6">
        <v>51501</v>
      </c>
      <c r="K47"/>
    </row>
    <row r="48" spans="1:11" x14ac:dyDescent="0.25">
      <c r="A48">
        <v>3</v>
      </c>
      <c r="B48" s="4">
        <f t="shared" si="1"/>
        <v>0.2</v>
      </c>
      <c r="C48">
        <v>200</v>
      </c>
      <c r="D48" s="4">
        <f t="shared" si="2"/>
        <v>0.60000000000000009</v>
      </c>
      <c r="E48" s="2">
        <v>153</v>
      </c>
      <c r="F48">
        <v>12.1088</v>
      </c>
      <c r="G48" s="5" t="s">
        <v>96</v>
      </c>
      <c r="H48" t="s">
        <v>97</v>
      </c>
      <c r="I48" s="6">
        <v>42128</v>
      </c>
      <c r="J48" s="6">
        <v>51501</v>
      </c>
      <c r="K48"/>
    </row>
    <row r="49" spans="1:11" x14ac:dyDescent="0.25">
      <c r="A49">
        <v>3</v>
      </c>
      <c r="B49" s="4">
        <f t="shared" si="1"/>
        <v>0.375</v>
      </c>
      <c r="C49">
        <v>375</v>
      </c>
      <c r="D49" s="4">
        <f t="shared" si="2"/>
        <v>1.125</v>
      </c>
      <c r="E49" s="2">
        <v>153</v>
      </c>
      <c r="F49">
        <v>22.246500000000001</v>
      </c>
      <c r="G49" s="5" t="s">
        <v>98</v>
      </c>
      <c r="H49" t="s">
        <v>99</v>
      </c>
      <c r="I49" s="6">
        <v>42128</v>
      </c>
      <c r="J49" s="6">
        <v>51501</v>
      </c>
      <c r="K49"/>
    </row>
    <row r="50" spans="1:11" x14ac:dyDescent="0.25">
      <c r="A50">
        <v>3</v>
      </c>
      <c r="B50" s="4">
        <f t="shared" si="1"/>
        <v>0.2</v>
      </c>
      <c r="C50">
        <v>200</v>
      </c>
      <c r="D50" s="4">
        <f t="shared" si="2"/>
        <v>0.60000000000000009</v>
      </c>
      <c r="E50" s="2">
        <v>153</v>
      </c>
      <c r="F50">
        <v>12.1088</v>
      </c>
      <c r="G50" s="5" t="s">
        <v>100</v>
      </c>
      <c r="H50" t="s">
        <v>101</v>
      </c>
      <c r="I50" s="6">
        <v>42128</v>
      </c>
      <c r="J50" s="6">
        <v>51501</v>
      </c>
      <c r="K50"/>
    </row>
    <row r="51" spans="1:11" x14ac:dyDescent="0.25">
      <c r="A51">
        <v>3</v>
      </c>
      <c r="B51" s="4">
        <f t="shared" si="1"/>
        <v>0.04</v>
      </c>
      <c r="C51">
        <v>40</v>
      </c>
      <c r="D51" s="4">
        <f t="shared" si="2"/>
        <v>0.12</v>
      </c>
      <c r="E51" s="2">
        <v>153</v>
      </c>
      <c r="F51">
        <v>2.8066</v>
      </c>
      <c r="G51" s="5" t="s">
        <v>102</v>
      </c>
      <c r="H51" t="s">
        <v>103</v>
      </c>
      <c r="I51" s="6">
        <v>42128</v>
      </c>
      <c r="J51" s="6">
        <v>51501</v>
      </c>
      <c r="K51"/>
    </row>
    <row r="52" spans="1:11" x14ac:dyDescent="0.25">
      <c r="A52">
        <v>3</v>
      </c>
      <c r="B52" s="4">
        <f t="shared" si="1"/>
        <v>0.05</v>
      </c>
      <c r="C52">
        <v>50</v>
      </c>
      <c r="D52" s="4">
        <f t="shared" si="2"/>
        <v>0.15000000000000002</v>
      </c>
      <c r="E52" s="2">
        <v>153</v>
      </c>
      <c r="F52">
        <v>3.5087000000000002</v>
      </c>
      <c r="G52" s="5" t="s">
        <v>104</v>
      </c>
      <c r="H52" t="s">
        <v>105</v>
      </c>
      <c r="I52" s="6">
        <v>42128</v>
      </c>
      <c r="J52" s="6">
        <v>51501</v>
      </c>
      <c r="K52"/>
    </row>
    <row r="53" spans="1:11" x14ac:dyDescent="0.25">
      <c r="A53">
        <v>4</v>
      </c>
      <c r="B53" s="4">
        <f t="shared" si="1"/>
        <v>0.2</v>
      </c>
      <c r="C53">
        <v>200</v>
      </c>
      <c r="D53" s="4">
        <f t="shared" si="2"/>
        <v>0.8</v>
      </c>
      <c r="E53" s="2">
        <v>153</v>
      </c>
      <c r="F53">
        <v>16.145600000000002</v>
      </c>
      <c r="G53" s="5" t="s">
        <v>106</v>
      </c>
      <c r="H53" t="s">
        <v>107</v>
      </c>
      <c r="I53" s="6">
        <v>42128</v>
      </c>
      <c r="J53" s="6">
        <v>51501</v>
      </c>
      <c r="K53"/>
    </row>
    <row r="54" spans="1:11" x14ac:dyDescent="0.25">
      <c r="A54">
        <v>4</v>
      </c>
      <c r="B54" s="4">
        <f t="shared" si="1"/>
        <v>2.5000000000000001E-2</v>
      </c>
      <c r="C54">
        <v>25</v>
      </c>
      <c r="D54" s="4">
        <f t="shared" si="2"/>
        <v>0.1</v>
      </c>
      <c r="E54" s="2">
        <v>153</v>
      </c>
      <c r="F54">
        <v>2.3388</v>
      </c>
      <c r="G54" s="5" t="s">
        <v>108</v>
      </c>
      <c r="H54" t="s">
        <v>109</v>
      </c>
      <c r="I54" s="6">
        <v>42128</v>
      </c>
      <c r="J54" s="6">
        <v>51501</v>
      </c>
      <c r="K54"/>
    </row>
    <row r="55" spans="1:11" x14ac:dyDescent="0.25">
      <c r="A55">
        <v>4</v>
      </c>
      <c r="B55" s="4">
        <f t="shared" si="1"/>
        <v>0.03</v>
      </c>
      <c r="C55">
        <v>30</v>
      </c>
      <c r="D55" s="4">
        <f t="shared" si="2"/>
        <v>0.12</v>
      </c>
      <c r="E55" s="2">
        <v>153</v>
      </c>
      <c r="F55">
        <v>2.8066</v>
      </c>
      <c r="G55" s="5" t="s">
        <v>110</v>
      </c>
      <c r="H55" t="s">
        <v>111</v>
      </c>
      <c r="I55" s="6">
        <v>42128</v>
      </c>
      <c r="J55" s="6">
        <v>51501</v>
      </c>
      <c r="K55"/>
    </row>
    <row r="56" spans="1:11" x14ac:dyDescent="0.25">
      <c r="A56">
        <v>4</v>
      </c>
      <c r="B56" s="4">
        <f t="shared" si="1"/>
        <v>0.05</v>
      </c>
      <c r="C56">
        <v>50</v>
      </c>
      <c r="D56" s="4">
        <f t="shared" si="2"/>
        <v>0.2</v>
      </c>
      <c r="E56" s="2">
        <v>153</v>
      </c>
      <c r="F56">
        <v>4.6782000000000004</v>
      </c>
      <c r="G56" s="5" t="s">
        <v>112</v>
      </c>
      <c r="H56" t="s">
        <v>113</v>
      </c>
      <c r="I56" s="6">
        <v>42128</v>
      </c>
      <c r="J56" s="6">
        <v>51501</v>
      </c>
      <c r="K56"/>
    </row>
    <row r="57" spans="1:11" x14ac:dyDescent="0.25">
      <c r="A57">
        <v>4</v>
      </c>
      <c r="B57" s="4">
        <f t="shared" si="1"/>
        <v>7.0000000000000007E-2</v>
      </c>
      <c r="C57">
        <v>70</v>
      </c>
      <c r="D57" s="4">
        <f t="shared" si="2"/>
        <v>0.28000000000000003</v>
      </c>
      <c r="E57" s="2">
        <v>153</v>
      </c>
      <c r="F57">
        <v>6.6676000000000002</v>
      </c>
      <c r="G57" s="5" t="s">
        <v>114</v>
      </c>
      <c r="H57" t="s">
        <v>115</v>
      </c>
      <c r="I57" s="6">
        <v>42128</v>
      </c>
      <c r="J57" s="6">
        <v>51501</v>
      </c>
      <c r="K57"/>
    </row>
    <row r="58" spans="1:11" x14ac:dyDescent="0.25">
      <c r="A58">
        <v>4</v>
      </c>
      <c r="B58" s="4">
        <f t="shared" si="1"/>
        <v>0.2</v>
      </c>
      <c r="C58">
        <v>200</v>
      </c>
      <c r="D58" s="4">
        <f t="shared" si="2"/>
        <v>0.8</v>
      </c>
      <c r="E58" s="2">
        <v>153</v>
      </c>
      <c r="F58">
        <v>16.145600000000002</v>
      </c>
      <c r="G58" s="5" t="s">
        <v>116</v>
      </c>
      <c r="H58" t="s">
        <v>117</v>
      </c>
      <c r="I58" s="6">
        <v>42128</v>
      </c>
      <c r="J58" s="6">
        <v>51501</v>
      </c>
    </row>
    <row r="59" spans="1:11" x14ac:dyDescent="0.25">
      <c r="A59">
        <v>5</v>
      </c>
      <c r="B59" s="4">
        <f t="shared" si="1"/>
        <v>0.05</v>
      </c>
      <c r="C59">
        <v>50</v>
      </c>
      <c r="D59" s="4">
        <f t="shared" si="2"/>
        <v>0.25</v>
      </c>
      <c r="E59" s="2">
        <v>153</v>
      </c>
      <c r="F59">
        <v>5.8476999999999997</v>
      </c>
      <c r="G59" s="5" t="s">
        <v>118</v>
      </c>
      <c r="H59" t="s">
        <v>119</v>
      </c>
      <c r="I59" s="6">
        <v>42128</v>
      </c>
      <c r="J59" s="6">
        <v>51501</v>
      </c>
      <c r="K59" s="1"/>
    </row>
    <row r="60" spans="1:11" x14ac:dyDescent="0.25">
      <c r="A60">
        <v>5</v>
      </c>
      <c r="B60" s="4">
        <f t="shared" si="1"/>
        <v>0.2</v>
      </c>
      <c r="C60">
        <v>200</v>
      </c>
      <c r="D60" s="4">
        <f t="shared" si="2"/>
        <v>1</v>
      </c>
      <c r="E60" s="2">
        <v>153</v>
      </c>
      <c r="F60">
        <v>20.182400000000001</v>
      </c>
      <c r="G60" s="5" t="s">
        <v>120</v>
      </c>
      <c r="H60" t="s">
        <v>121</v>
      </c>
      <c r="I60" s="6">
        <v>42128</v>
      </c>
      <c r="J60" s="6">
        <v>51501</v>
      </c>
    </row>
    <row r="61" spans="1:11" x14ac:dyDescent="0.25">
      <c r="A61">
        <v>5</v>
      </c>
      <c r="B61" s="4">
        <f t="shared" si="1"/>
        <v>0.05</v>
      </c>
      <c r="C61">
        <v>50</v>
      </c>
      <c r="D61" s="4">
        <f t="shared" si="2"/>
        <v>0.25</v>
      </c>
      <c r="E61" s="2">
        <v>153</v>
      </c>
      <c r="F61">
        <v>6.2557999999999998</v>
      </c>
      <c r="G61" s="5" t="s">
        <v>122</v>
      </c>
      <c r="H61" t="s">
        <v>123</v>
      </c>
      <c r="I61" s="6">
        <v>42128</v>
      </c>
      <c r="J61" s="6">
        <v>51501</v>
      </c>
    </row>
    <row r="62" spans="1:11" x14ac:dyDescent="0.25">
      <c r="A62">
        <v>6</v>
      </c>
      <c r="B62" s="4">
        <f t="shared" si="1"/>
        <v>0.03</v>
      </c>
      <c r="C62">
        <v>30</v>
      </c>
      <c r="D62" s="4">
        <f t="shared" si="2"/>
        <v>0.18</v>
      </c>
      <c r="E62" s="2">
        <v>153</v>
      </c>
      <c r="F62">
        <v>4.21</v>
      </c>
      <c r="G62" s="5" t="s">
        <v>124</v>
      </c>
      <c r="H62" t="s">
        <v>125</v>
      </c>
      <c r="I62" s="6">
        <v>42128</v>
      </c>
      <c r="J62" s="6">
        <v>51501</v>
      </c>
    </row>
    <row r="63" spans="1:11" x14ac:dyDescent="0.25">
      <c r="A63">
        <v>6</v>
      </c>
      <c r="B63" s="4">
        <f t="shared" si="1"/>
        <v>0.05</v>
      </c>
      <c r="C63">
        <v>50</v>
      </c>
      <c r="D63" s="4">
        <f t="shared" si="2"/>
        <v>0.30000000000000004</v>
      </c>
      <c r="E63" s="2">
        <v>153</v>
      </c>
      <c r="F63">
        <v>7.0174000000000003</v>
      </c>
      <c r="G63" s="5" t="s">
        <v>126</v>
      </c>
      <c r="H63" t="s">
        <v>127</v>
      </c>
      <c r="I63" s="6">
        <v>42128</v>
      </c>
      <c r="J63" s="6">
        <v>51501</v>
      </c>
    </row>
    <row r="64" spans="1:11" x14ac:dyDescent="0.25">
      <c r="A64">
        <v>10</v>
      </c>
      <c r="B64" s="4">
        <f t="shared" si="1"/>
        <v>0.02</v>
      </c>
      <c r="C64">
        <v>20</v>
      </c>
      <c r="D64" s="4">
        <f t="shared" si="2"/>
        <v>0.2</v>
      </c>
      <c r="E64" s="2">
        <v>153</v>
      </c>
      <c r="F64">
        <v>4.6776999999999997</v>
      </c>
      <c r="G64" s="5" t="s">
        <v>128</v>
      </c>
      <c r="H64" t="s">
        <v>129</v>
      </c>
      <c r="I64" s="6">
        <v>42128</v>
      </c>
      <c r="J64" s="6">
        <v>51501</v>
      </c>
    </row>
    <row r="65" spans="1:10" x14ac:dyDescent="0.25">
      <c r="A65">
        <v>10</v>
      </c>
      <c r="B65" s="4">
        <f t="shared" si="1"/>
        <v>0.05</v>
      </c>
      <c r="C65">
        <v>50</v>
      </c>
      <c r="D65" s="4">
        <f t="shared" si="2"/>
        <v>0.5</v>
      </c>
      <c r="E65" s="2">
        <v>153</v>
      </c>
      <c r="F65">
        <v>11.6952</v>
      </c>
      <c r="G65" s="5" t="s">
        <v>130</v>
      </c>
      <c r="H65" t="s">
        <v>131</v>
      </c>
      <c r="I65" s="6">
        <v>42128</v>
      </c>
      <c r="J65" s="6">
        <v>51501</v>
      </c>
    </row>
    <row r="66" spans="1:10" x14ac:dyDescent="0.25">
      <c r="A66">
        <v>10</v>
      </c>
      <c r="B66" s="4">
        <f t="shared" si="1"/>
        <v>0.02</v>
      </c>
      <c r="C66">
        <v>20</v>
      </c>
      <c r="D66" s="4">
        <f t="shared" si="2"/>
        <v>0.2</v>
      </c>
      <c r="E66" s="2">
        <v>153</v>
      </c>
      <c r="F66">
        <v>4.6778000000000004</v>
      </c>
      <c r="G66" s="5" t="s">
        <v>132</v>
      </c>
      <c r="H66" t="s">
        <v>133</v>
      </c>
      <c r="I66" s="6">
        <v>42128</v>
      </c>
      <c r="J66" s="6">
        <v>51501</v>
      </c>
    </row>
    <row r="67" spans="1:10" x14ac:dyDescent="0.25">
      <c r="A67">
        <v>10</v>
      </c>
      <c r="B67" s="4">
        <f t="shared" si="1"/>
        <v>0.05</v>
      </c>
      <c r="C67">
        <v>50</v>
      </c>
      <c r="D67" s="4">
        <f t="shared" si="2"/>
        <v>0.5</v>
      </c>
      <c r="E67" s="2">
        <v>153</v>
      </c>
      <c r="F67">
        <v>11.6952</v>
      </c>
      <c r="G67" s="5" t="s">
        <v>134</v>
      </c>
      <c r="H67" t="s">
        <v>135</v>
      </c>
      <c r="I67" s="6">
        <v>42128</v>
      </c>
      <c r="J67" s="6">
        <v>51501</v>
      </c>
    </row>
    <row r="68" spans="1:10" x14ac:dyDescent="0.25">
      <c r="A68">
        <v>12</v>
      </c>
      <c r="B68" s="4">
        <f t="shared" si="1"/>
        <v>0.03</v>
      </c>
      <c r="C68">
        <v>30</v>
      </c>
      <c r="D68" s="4">
        <f t="shared" si="2"/>
        <v>0.36</v>
      </c>
      <c r="E68" s="2">
        <v>153</v>
      </c>
      <c r="F68">
        <v>8.42</v>
      </c>
      <c r="G68" s="5" t="s">
        <v>136</v>
      </c>
      <c r="H68" t="s">
        <v>137</v>
      </c>
      <c r="I68" s="6">
        <v>42128</v>
      </c>
      <c r="J68" s="6">
        <v>51501</v>
      </c>
    </row>
    <row r="69" spans="1:10" x14ac:dyDescent="0.25">
      <c r="A69">
        <v>24</v>
      </c>
      <c r="B69" s="4">
        <f t="shared" si="1"/>
        <v>0.03</v>
      </c>
      <c r="C69">
        <v>30</v>
      </c>
      <c r="D69" s="4">
        <f t="shared" si="2"/>
        <v>0.72</v>
      </c>
      <c r="E69" s="2">
        <v>153</v>
      </c>
      <c r="F69">
        <v>16.8354</v>
      </c>
      <c r="G69" s="5" t="s">
        <v>138</v>
      </c>
      <c r="H69" t="s">
        <v>139</v>
      </c>
      <c r="I69" s="6">
        <v>42087</v>
      </c>
      <c r="J69" s="6">
        <v>51501</v>
      </c>
    </row>
    <row r="70" spans="1:10" x14ac:dyDescent="0.25">
      <c r="A70">
        <v>25</v>
      </c>
      <c r="B70" s="4">
        <f t="shared" si="1"/>
        <v>0.05</v>
      </c>
      <c r="C70">
        <v>50</v>
      </c>
      <c r="D70" s="4">
        <f t="shared" si="2"/>
        <v>1.25</v>
      </c>
      <c r="E70" s="2">
        <v>153</v>
      </c>
      <c r="F70">
        <v>29.237400000000001</v>
      </c>
      <c r="G70" s="5" t="s">
        <v>140</v>
      </c>
      <c r="H70" t="s">
        <v>141</v>
      </c>
      <c r="I70" s="6">
        <v>42205</v>
      </c>
      <c r="J70" s="6">
        <v>51501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4"/>
  <sheetViews>
    <sheetView workbookViewId="0">
      <selection activeCell="L7" sqref="L7:N7"/>
    </sheetView>
  </sheetViews>
  <sheetFormatPr defaultRowHeight="15" x14ac:dyDescent="0.25"/>
  <cols>
    <col min="1" max="6" width="9.140625" style="2"/>
    <col min="7" max="7" width="18.85546875" style="2" bestFit="1" customWidth="1"/>
    <col min="8" max="8" width="13.5703125" style="2" bestFit="1" customWidth="1"/>
    <col min="9" max="9" width="11" style="2" bestFit="1" customWidth="1"/>
    <col min="10" max="10" width="1.7109375" style="2" customWidth="1"/>
    <col min="11" max="16384" width="9.140625" style="2"/>
  </cols>
  <sheetData>
    <row r="1" spans="1:14" x14ac:dyDescent="0.25">
      <c r="A1" s="1" t="s">
        <v>0</v>
      </c>
      <c r="L1" s="2" t="s">
        <v>892</v>
      </c>
    </row>
    <row r="2" spans="1:14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8"/>
      <c r="L2" s="2" t="s">
        <v>889</v>
      </c>
      <c r="M2" s="2" t="s">
        <v>890</v>
      </c>
      <c r="N2" s="2" t="s">
        <v>891</v>
      </c>
    </row>
    <row r="3" spans="1:14" x14ac:dyDescent="0.25">
      <c r="A3">
        <v>1</v>
      </c>
      <c r="B3" s="4">
        <f t="shared" ref="B3:B43" si="0">C3/1000</f>
        <v>0.1</v>
      </c>
      <c r="C3">
        <v>100</v>
      </c>
      <c r="D3" s="2">
        <v>95</v>
      </c>
      <c r="E3">
        <v>0.3498</v>
      </c>
      <c r="F3" s="5" t="s">
        <v>142</v>
      </c>
      <c r="G3" t="s">
        <v>143</v>
      </c>
      <c r="H3" s="6">
        <v>42128</v>
      </c>
      <c r="I3" s="6">
        <v>51501</v>
      </c>
      <c r="J3" s="9"/>
      <c r="L3" s="2">
        <v>1</v>
      </c>
      <c r="M3" s="2">
        <v>42.11</v>
      </c>
      <c r="N3" s="2">
        <v>1.4763999999999999</v>
      </c>
    </row>
    <row r="4" spans="1:14" x14ac:dyDescent="0.25">
      <c r="A4">
        <v>1</v>
      </c>
      <c r="B4" s="4">
        <f t="shared" si="0"/>
        <v>1</v>
      </c>
      <c r="C4">
        <v>1000</v>
      </c>
      <c r="D4" s="2">
        <v>95</v>
      </c>
      <c r="E4">
        <v>3.5061</v>
      </c>
      <c r="F4" s="5" t="s">
        <v>144</v>
      </c>
      <c r="G4" t="s">
        <v>145</v>
      </c>
      <c r="H4" s="6">
        <v>42128</v>
      </c>
      <c r="I4" s="6">
        <v>51501</v>
      </c>
      <c r="J4" s="9"/>
      <c r="L4" s="2">
        <v>2</v>
      </c>
      <c r="M4" s="2">
        <v>52.63</v>
      </c>
      <c r="N4" s="2">
        <v>1.8452999999999999</v>
      </c>
    </row>
    <row r="5" spans="1:14" x14ac:dyDescent="0.25">
      <c r="A5">
        <v>1</v>
      </c>
      <c r="B5" s="4">
        <f t="shared" si="0"/>
        <v>10</v>
      </c>
      <c r="C5">
        <v>10000</v>
      </c>
      <c r="D5" s="2">
        <v>95</v>
      </c>
      <c r="E5">
        <v>25.346599999999999</v>
      </c>
      <c r="F5" s="5" t="s">
        <v>146</v>
      </c>
      <c r="G5" t="s">
        <v>147</v>
      </c>
      <c r="H5" s="6">
        <v>42128</v>
      </c>
      <c r="I5" s="6">
        <v>51501</v>
      </c>
      <c r="J5" s="9"/>
      <c r="L5" s="2">
        <v>3</v>
      </c>
      <c r="M5" s="2">
        <v>68.42</v>
      </c>
      <c r="N5" s="2">
        <v>2.3988999999999998</v>
      </c>
    </row>
    <row r="6" spans="1:14" x14ac:dyDescent="0.25">
      <c r="A6">
        <v>1</v>
      </c>
      <c r="B6" s="4">
        <f t="shared" si="0"/>
        <v>12</v>
      </c>
      <c r="C6">
        <v>12000</v>
      </c>
      <c r="D6" s="2">
        <v>95</v>
      </c>
      <c r="E6">
        <v>30.414999999999999</v>
      </c>
      <c r="F6" s="5" t="s">
        <v>148</v>
      </c>
      <c r="G6" t="s">
        <v>149</v>
      </c>
      <c r="H6" s="6">
        <v>42128</v>
      </c>
      <c r="I6" s="6">
        <v>51501</v>
      </c>
      <c r="J6" s="9"/>
      <c r="L6" s="2">
        <v>4</v>
      </c>
      <c r="M6" s="2">
        <v>84.21</v>
      </c>
      <c r="N6" s="2">
        <v>2.9525000000000001</v>
      </c>
    </row>
    <row r="7" spans="1:14" x14ac:dyDescent="0.25">
      <c r="A7">
        <v>1</v>
      </c>
      <c r="B7" s="4">
        <f t="shared" si="0"/>
        <v>1.5</v>
      </c>
      <c r="C7">
        <v>1500</v>
      </c>
      <c r="D7" s="2">
        <v>95</v>
      </c>
      <c r="E7">
        <v>5.0980999999999996</v>
      </c>
      <c r="F7" s="5" t="s">
        <v>150</v>
      </c>
      <c r="G7" t="s">
        <v>151</v>
      </c>
      <c r="H7" s="6">
        <v>42128</v>
      </c>
      <c r="I7" s="6">
        <v>51501</v>
      </c>
      <c r="J7" s="9"/>
    </row>
    <row r="8" spans="1:14" x14ac:dyDescent="0.25">
      <c r="A8">
        <v>1</v>
      </c>
      <c r="B8" s="4">
        <f t="shared" si="0"/>
        <v>15</v>
      </c>
      <c r="C8">
        <v>15000</v>
      </c>
      <c r="D8" s="2">
        <v>95</v>
      </c>
      <c r="E8">
        <v>38.553100000000001</v>
      </c>
      <c r="F8" s="5" t="s">
        <v>152</v>
      </c>
      <c r="G8" t="s">
        <v>153</v>
      </c>
      <c r="H8" s="6">
        <v>42128</v>
      </c>
      <c r="I8" s="6">
        <v>51501</v>
      </c>
      <c r="J8" s="9"/>
    </row>
    <row r="9" spans="1:14" x14ac:dyDescent="0.25">
      <c r="A9">
        <v>1</v>
      </c>
      <c r="B9" s="4">
        <f t="shared" si="0"/>
        <v>16</v>
      </c>
      <c r="C9">
        <v>16000</v>
      </c>
      <c r="D9" s="2">
        <v>95</v>
      </c>
      <c r="E9">
        <v>41.1233</v>
      </c>
      <c r="F9" s="5" t="s">
        <v>154</v>
      </c>
      <c r="G9" t="s">
        <v>155</v>
      </c>
      <c r="H9" s="6">
        <v>42128</v>
      </c>
      <c r="I9" s="6">
        <v>51501</v>
      </c>
      <c r="J9" s="9"/>
    </row>
    <row r="10" spans="1:14" x14ac:dyDescent="0.25">
      <c r="A10">
        <v>1</v>
      </c>
      <c r="B10" s="4">
        <f t="shared" si="0"/>
        <v>1.75</v>
      </c>
      <c r="C10">
        <v>1750</v>
      </c>
      <c r="D10" s="2">
        <v>95</v>
      </c>
      <c r="E10">
        <v>5.9474999999999998</v>
      </c>
      <c r="F10" s="5" t="s">
        <v>156</v>
      </c>
      <c r="G10" t="s">
        <v>157</v>
      </c>
      <c r="H10" s="6">
        <v>42128</v>
      </c>
      <c r="I10" s="6">
        <v>51501</v>
      </c>
      <c r="J10" s="9"/>
    </row>
    <row r="11" spans="1:14" x14ac:dyDescent="0.25">
      <c r="A11">
        <v>1</v>
      </c>
      <c r="B11" s="4">
        <f t="shared" si="0"/>
        <v>1.8</v>
      </c>
      <c r="C11">
        <v>1800</v>
      </c>
      <c r="D11" s="2">
        <v>95</v>
      </c>
      <c r="E11">
        <v>6.1176000000000004</v>
      </c>
      <c r="F11" s="5" t="s">
        <v>158</v>
      </c>
      <c r="G11" t="s">
        <v>159</v>
      </c>
      <c r="H11" s="6">
        <v>42128</v>
      </c>
      <c r="I11" s="6">
        <v>51501</v>
      </c>
      <c r="J11" s="9"/>
    </row>
    <row r="12" spans="1:14" x14ac:dyDescent="0.25">
      <c r="A12">
        <v>1</v>
      </c>
      <c r="B12" s="4">
        <f t="shared" si="0"/>
        <v>18</v>
      </c>
      <c r="C12">
        <v>18000</v>
      </c>
      <c r="D12" s="2">
        <v>95</v>
      </c>
      <c r="E12">
        <v>46.2639</v>
      </c>
      <c r="F12" s="5" t="s">
        <v>160</v>
      </c>
      <c r="G12" t="s">
        <v>161</v>
      </c>
      <c r="H12" s="6">
        <v>42128</v>
      </c>
      <c r="I12" s="6">
        <v>51501</v>
      </c>
      <c r="J12" s="9"/>
    </row>
    <row r="13" spans="1:14" x14ac:dyDescent="0.25">
      <c r="A13">
        <v>1</v>
      </c>
      <c r="B13" s="4">
        <f t="shared" si="0"/>
        <v>0.187</v>
      </c>
      <c r="C13">
        <v>187</v>
      </c>
      <c r="D13" s="2">
        <v>95</v>
      </c>
      <c r="E13">
        <v>0.90939999999999999</v>
      </c>
      <c r="F13" s="5" t="s">
        <v>162</v>
      </c>
      <c r="G13" t="s">
        <v>163</v>
      </c>
      <c r="H13" s="6">
        <v>42128</v>
      </c>
      <c r="I13" s="6">
        <v>51501</v>
      </c>
      <c r="J13" s="9"/>
    </row>
    <row r="14" spans="1:14" x14ac:dyDescent="0.25">
      <c r="A14">
        <v>1</v>
      </c>
      <c r="B14" s="4">
        <f t="shared" si="0"/>
        <v>0.1875</v>
      </c>
      <c r="C14">
        <v>187.5</v>
      </c>
      <c r="D14" s="2">
        <v>95</v>
      </c>
      <c r="E14">
        <v>0.91169999999999995</v>
      </c>
      <c r="F14" s="5" t="s">
        <v>164</v>
      </c>
      <c r="G14" t="s">
        <v>165</v>
      </c>
      <c r="H14" s="6">
        <v>42128</v>
      </c>
      <c r="I14" s="6">
        <v>51501</v>
      </c>
      <c r="J14" s="9"/>
    </row>
    <row r="15" spans="1:14" x14ac:dyDescent="0.25">
      <c r="A15">
        <v>1</v>
      </c>
      <c r="B15" s="4">
        <f t="shared" si="0"/>
        <v>19</v>
      </c>
      <c r="C15">
        <v>19000</v>
      </c>
      <c r="D15" s="2">
        <v>95</v>
      </c>
      <c r="E15">
        <v>47.846499999999999</v>
      </c>
      <c r="F15" s="5" t="s">
        <v>166</v>
      </c>
      <c r="G15" t="s">
        <v>167</v>
      </c>
      <c r="H15" s="6">
        <v>42128</v>
      </c>
      <c r="I15" s="6">
        <v>51501</v>
      </c>
      <c r="J15" s="9"/>
    </row>
    <row r="16" spans="1:14" x14ac:dyDescent="0.25">
      <c r="A16">
        <v>1</v>
      </c>
      <c r="B16" s="4">
        <f t="shared" si="0"/>
        <v>19.5</v>
      </c>
      <c r="C16">
        <v>19500</v>
      </c>
      <c r="D16" s="2">
        <v>95</v>
      </c>
      <c r="E16">
        <v>50.102400000000003</v>
      </c>
      <c r="F16" s="5" t="s">
        <v>168</v>
      </c>
      <c r="G16" t="s">
        <v>169</v>
      </c>
      <c r="H16" s="6">
        <v>42128</v>
      </c>
      <c r="I16" s="6">
        <v>51501</v>
      </c>
      <c r="J16" s="9"/>
    </row>
    <row r="17" spans="1:11" x14ac:dyDescent="0.25">
      <c r="A17">
        <v>1</v>
      </c>
      <c r="B17" s="4">
        <f t="shared" si="0"/>
        <v>0.2</v>
      </c>
      <c r="C17">
        <v>200</v>
      </c>
      <c r="D17" s="2">
        <v>95</v>
      </c>
      <c r="E17">
        <v>0.9738</v>
      </c>
      <c r="F17" s="5" t="s">
        <v>170</v>
      </c>
      <c r="G17" t="s">
        <v>171</v>
      </c>
      <c r="H17" s="6">
        <v>42128</v>
      </c>
      <c r="I17" s="6">
        <v>51501</v>
      </c>
      <c r="J17" s="9"/>
    </row>
    <row r="18" spans="1:11" x14ac:dyDescent="0.25">
      <c r="A18">
        <v>1</v>
      </c>
      <c r="B18" s="4">
        <f t="shared" si="0"/>
        <v>2</v>
      </c>
      <c r="C18">
        <v>2000</v>
      </c>
      <c r="D18" s="2">
        <v>95</v>
      </c>
      <c r="E18">
        <v>6.5758999999999999</v>
      </c>
      <c r="F18" s="5" t="s">
        <v>172</v>
      </c>
      <c r="G18" t="s">
        <v>173</v>
      </c>
      <c r="H18" s="6">
        <v>42128</v>
      </c>
      <c r="I18" s="6">
        <v>51501</v>
      </c>
      <c r="J18" s="9"/>
    </row>
    <row r="19" spans="1:11" x14ac:dyDescent="0.25">
      <c r="A19">
        <v>1</v>
      </c>
      <c r="B19" s="4">
        <f t="shared" si="0"/>
        <v>20</v>
      </c>
      <c r="C19">
        <v>20000</v>
      </c>
      <c r="D19" s="2">
        <v>95</v>
      </c>
      <c r="E19">
        <v>51.402299999999997</v>
      </c>
      <c r="F19" s="5" t="s">
        <v>174</v>
      </c>
      <c r="G19" t="s">
        <v>175</v>
      </c>
      <c r="H19" s="6">
        <v>42128</v>
      </c>
      <c r="I19" s="6">
        <v>51501</v>
      </c>
      <c r="J19" s="9"/>
    </row>
    <row r="20" spans="1:11" x14ac:dyDescent="0.25">
      <c r="A20">
        <v>1</v>
      </c>
      <c r="B20" s="4">
        <f t="shared" si="0"/>
        <v>22</v>
      </c>
      <c r="C20">
        <v>22000</v>
      </c>
      <c r="D20" s="2">
        <v>95</v>
      </c>
      <c r="E20">
        <v>56.542499999999997</v>
      </c>
      <c r="F20" s="5" t="s">
        <v>176</v>
      </c>
      <c r="G20" t="s">
        <v>177</v>
      </c>
      <c r="H20" s="6">
        <v>42128</v>
      </c>
      <c r="I20" s="6">
        <v>51501</v>
      </c>
      <c r="J20" s="9"/>
      <c r="K20" s="11"/>
    </row>
    <row r="21" spans="1:11" x14ac:dyDescent="0.25">
      <c r="A21">
        <v>1</v>
      </c>
      <c r="B21" s="4">
        <f t="shared" si="0"/>
        <v>0.25</v>
      </c>
      <c r="C21">
        <v>250</v>
      </c>
      <c r="D21" s="2">
        <v>95</v>
      </c>
      <c r="E21">
        <v>1.2154</v>
      </c>
      <c r="F21" s="5" t="s">
        <v>178</v>
      </c>
      <c r="G21" t="s">
        <v>179</v>
      </c>
      <c r="H21" s="6">
        <v>42128</v>
      </c>
      <c r="I21" s="6">
        <v>51501</v>
      </c>
      <c r="K21" s="7"/>
    </row>
    <row r="22" spans="1:11" x14ac:dyDescent="0.25">
      <c r="A22">
        <v>1</v>
      </c>
      <c r="B22" s="4">
        <f t="shared" si="0"/>
        <v>2.5</v>
      </c>
      <c r="C22">
        <v>2500</v>
      </c>
      <c r="D22" s="2">
        <v>95</v>
      </c>
      <c r="E22">
        <v>8.2184000000000008</v>
      </c>
      <c r="F22" s="5" t="s">
        <v>180</v>
      </c>
      <c r="G22" t="s">
        <v>181</v>
      </c>
      <c r="H22" s="6">
        <v>42128</v>
      </c>
      <c r="I22" s="6">
        <v>51501</v>
      </c>
      <c r="K22" s="11"/>
    </row>
    <row r="23" spans="1:11" x14ac:dyDescent="0.25">
      <c r="A23">
        <v>1</v>
      </c>
      <c r="B23" s="4">
        <f t="shared" si="0"/>
        <v>2.75</v>
      </c>
      <c r="C23">
        <v>2750</v>
      </c>
      <c r="D23" s="2">
        <v>95</v>
      </c>
      <c r="E23">
        <v>8.7469999999999999</v>
      </c>
      <c r="F23" s="5" t="s">
        <v>182</v>
      </c>
      <c r="G23" t="s">
        <v>183</v>
      </c>
      <c r="H23" s="6">
        <v>42128</v>
      </c>
      <c r="I23" s="6">
        <v>51501</v>
      </c>
      <c r="K23" s="11"/>
    </row>
    <row r="24" spans="1:11" x14ac:dyDescent="0.25">
      <c r="A24">
        <v>1</v>
      </c>
      <c r="B24" s="4">
        <f t="shared" si="0"/>
        <v>28</v>
      </c>
      <c r="C24">
        <v>28000</v>
      </c>
      <c r="D24" s="2">
        <v>95</v>
      </c>
      <c r="E24">
        <v>71.965500000000006</v>
      </c>
      <c r="F24" s="5" t="s">
        <v>184</v>
      </c>
      <c r="G24" t="s">
        <v>185</v>
      </c>
      <c r="H24" s="6">
        <v>42128</v>
      </c>
      <c r="I24" s="6">
        <v>51501</v>
      </c>
      <c r="K24" s="11"/>
    </row>
    <row r="25" spans="1:11" x14ac:dyDescent="0.25">
      <c r="A25">
        <v>1</v>
      </c>
      <c r="B25" s="4">
        <f t="shared" si="0"/>
        <v>0.28999999999999998</v>
      </c>
      <c r="C25">
        <v>290</v>
      </c>
      <c r="D25" s="2">
        <v>95</v>
      </c>
      <c r="E25">
        <v>1.4094</v>
      </c>
      <c r="F25" s="5" t="s">
        <v>186</v>
      </c>
      <c r="G25" t="s">
        <v>187</v>
      </c>
      <c r="H25" s="6">
        <v>42128</v>
      </c>
      <c r="I25" s="6">
        <v>51501</v>
      </c>
      <c r="K25" s="11"/>
    </row>
    <row r="26" spans="1:11" x14ac:dyDescent="0.25">
      <c r="A26">
        <v>1</v>
      </c>
      <c r="B26" s="4">
        <f t="shared" si="0"/>
        <v>0.3</v>
      </c>
      <c r="C26">
        <v>300</v>
      </c>
      <c r="D26" s="2">
        <v>95</v>
      </c>
      <c r="E26">
        <v>1.4581</v>
      </c>
      <c r="F26" s="5" t="s">
        <v>188</v>
      </c>
      <c r="G26" t="s">
        <v>189</v>
      </c>
      <c r="H26" s="6">
        <v>42128</v>
      </c>
      <c r="I26" s="6">
        <v>51501</v>
      </c>
      <c r="K26" s="11"/>
    </row>
    <row r="27" spans="1:11" x14ac:dyDescent="0.25">
      <c r="A27">
        <v>1</v>
      </c>
      <c r="B27" s="4">
        <f t="shared" si="0"/>
        <v>3</v>
      </c>
      <c r="C27">
        <v>3000</v>
      </c>
      <c r="D27" s="2">
        <v>95</v>
      </c>
      <c r="E27">
        <v>9.5427</v>
      </c>
      <c r="F27" s="5" t="s">
        <v>190</v>
      </c>
      <c r="G27" t="s">
        <v>191</v>
      </c>
      <c r="H27" s="6">
        <v>42128</v>
      </c>
      <c r="I27" s="6">
        <v>51501</v>
      </c>
      <c r="K27" s="11"/>
    </row>
    <row r="28" spans="1:11" x14ac:dyDescent="0.25">
      <c r="A28">
        <v>1</v>
      </c>
      <c r="B28" s="4">
        <f t="shared" si="0"/>
        <v>0.33</v>
      </c>
      <c r="C28">
        <v>330</v>
      </c>
      <c r="D28" s="2">
        <v>95</v>
      </c>
      <c r="E28">
        <v>1.6133999999999999</v>
      </c>
      <c r="F28" s="5" t="s">
        <v>192</v>
      </c>
      <c r="G28" t="s">
        <v>193</v>
      </c>
      <c r="H28" s="6">
        <v>42128</v>
      </c>
      <c r="I28" s="6">
        <v>51501</v>
      </c>
      <c r="K28" s="11"/>
    </row>
    <row r="29" spans="1:11" x14ac:dyDescent="0.25">
      <c r="A29">
        <v>1</v>
      </c>
      <c r="B29" s="4">
        <f t="shared" si="0"/>
        <v>0.35</v>
      </c>
      <c r="C29">
        <v>350</v>
      </c>
      <c r="D29" s="2">
        <v>95</v>
      </c>
      <c r="E29">
        <v>1.7012</v>
      </c>
      <c r="F29" s="5" t="s">
        <v>194</v>
      </c>
      <c r="G29" t="s">
        <v>195</v>
      </c>
      <c r="H29" s="6">
        <v>42128</v>
      </c>
      <c r="I29" s="6">
        <v>51501</v>
      </c>
      <c r="K29" s="11"/>
    </row>
    <row r="30" spans="1:11" x14ac:dyDescent="0.25">
      <c r="A30">
        <v>1</v>
      </c>
      <c r="B30" s="4">
        <f t="shared" si="0"/>
        <v>0.375</v>
      </c>
      <c r="C30">
        <v>375</v>
      </c>
      <c r="D30" s="2">
        <v>95</v>
      </c>
      <c r="E30">
        <v>1.8228</v>
      </c>
      <c r="F30" s="5" t="s">
        <v>196</v>
      </c>
      <c r="G30" t="s">
        <v>197</v>
      </c>
      <c r="H30" s="6">
        <v>42128</v>
      </c>
      <c r="I30" s="6">
        <v>51501</v>
      </c>
      <c r="K30" s="11"/>
    </row>
    <row r="31" spans="1:11" x14ac:dyDescent="0.25">
      <c r="A31">
        <v>1</v>
      </c>
      <c r="B31" s="4">
        <f t="shared" si="0"/>
        <v>4</v>
      </c>
      <c r="C31">
        <v>4000</v>
      </c>
      <c r="D31" s="2">
        <v>95</v>
      </c>
      <c r="E31">
        <v>11.7743</v>
      </c>
      <c r="F31" s="5" t="s">
        <v>198</v>
      </c>
      <c r="G31" t="s">
        <v>199</v>
      </c>
      <c r="H31" s="6">
        <v>42128</v>
      </c>
      <c r="I31" s="6">
        <v>51501</v>
      </c>
      <c r="K31" s="11"/>
    </row>
    <row r="32" spans="1:11" x14ac:dyDescent="0.25">
      <c r="A32">
        <v>1</v>
      </c>
      <c r="B32" s="4">
        <f t="shared" si="0"/>
        <v>4.5</v>
      </c>
      <c r="C32">
        <v>4500</v>
      </c>
      <c r="D32" s="2">
        <v>95</v>
      </c>
      <c r="E32">
        <v>13.2447</v>
      </c>
      <c r="F32" s="5" t="s">
        <v>200</v>
      </c>
      <c r="G32" t="s">
        <v>201</v>
      </c>
      <c r="H32" s="6">
        <v>42128</v>
      </c>
      <c r="I32" s="6">
        <v>51501</v>
      </c>
      <c r="K32" s="11"/>
    </row>
    <row r="33" spans="1:11" x14ac:dyDescent="0.25">
      <c r="A33">
        <v>1</v>
      </c>
      <c r="B33" s="4">
        <f t="shared" si="0"/>
        <v>0.05</v>
      </c>
      <c r="C33">
        <v>50</v>
      </c>
      <c r="D33" s="2">
        <v>95</v>
      </c>
      <c r="E33">
        <v>0.24260000000000001</v>
      </c>
      <c r="F33" s="5" t="s">
        <v>202</v>
      </c>
      <c r="G33" t="s">
        <v>203</v>
      </c>
      <c r="H33" s="6">
        <v>42128</v>
      </c>
      <c r="I33" s="6">
        <v>51501</v>
      </c>
      <c r="K33" s="11"/>
    </row>
    <row r="34" spans="1:11" x14ac:dyDescent="0.25">
      <c r="A34">
        <v>1</v>
      </c>
      <c r="B34" s="4">
        <f t="shared" si="0"/>
        <v>0.5</v>
      </c>
      <c r="C34">
        <v>500</v>
      </c>
      <c r="D34" s="2">
        <v>95</v>
      </c>
      <c r="E34">
        <v>2.4327000000000001</v>
      </c>
      <c r="F34" s="5" t="s">
        <v>204</v>
      </c>
      <c r="G34" t="s">
        <v>205</v>
      </c>
      <c r="H34" s="6">
        <v>42128</v>
      </c>
      <c r="I34" s="6">
        <v>51501</v>
      </c>
      <c r="K34" s="11"/>
    </row>
    <row r="35" spans="1:11" x14ac:dyDescent="0.25">
      <c r="A35">
        <v>1</v>
      </c>
      <c r="B35" s="4">
        <f t="shared" si="0"/>
        <v>5</v>
      </c>
      <c r="C35">
        <v>5000</v>
      </c>
      <c r="D35" s="2">
        <v>95</v>
      </c>
      <c r="E35">
        <v>14.7173</v>
      </c>
      <c r="F35" s="5" t="s">
        <v>206</v>
      </c>
      <c r="G35" t="s">
        <v>207</v>
      </c>
      <c r="H35" s="6">
        <v>42128</v>
      </c>
      <c r="I35" s="6">
        <v>51501</v>
      </c>
      <c r="K35" s="11"/>
    </row>
    <row r="36" spans="1:11" x14ac:dyDescent="0.25">
      <c r="A36">
        <v>1</v>
      </c>
      <c r="B36" s="4">
        <f t="shared" si="0"/>
        <v>6</v>
      </c>
      <c r="C36">
        <v>6000</v>
      </c>
      <c r="D36" s="2">
        <v>95</v>
      </c>
      <c r="E36">
        <v>17.661300000000001</v>
      </c>
      <c r="F36" s="5" t="s">
        <v>208</v>
      </c>
      <c r="G36" t="s">
        <v>209</v>
      </c>
      <c r="H36" s="6">
        <v>42128</v>
      </c>
      <c r="I36" s="6">
        <v>51501</v>
      </c>
      <c r="K36" s="11"/>
    </row>
    <row r="37" spans="1:11" x14ac:dyDescent="0.25">
      <c r="A37">
        <v>1</v>
      </c>
      <c r="B37" s="4">
        <f t="shared" si="0"/>
        <v>0.62</v>
      </c>
      <c r="C37">
        <v>620</v>
      </c>
      <c r="D37" s="2">
        <v>95</v>
      </c>
      <c r="E37">
        <v>2.5323000000000002</v>
      </c>
      <c r="F37" s="5" t="s">
        <v>210</v>
      </c>
      <c r="G37" t="s">
        <v>211</v>
      </c>
      <c r="H37" s="6">
        <v>42128</v>
      </c>
      <c r="I37" s="6">
        <v>51501</v>
      </c>
      <c r="K37" s="11"/>
    </row>
    <row r="38" spans="1:11" x14ac:dyDescent="0.25">
      <c r="A38">
        <v>1</v>
      </c>
      <c r="B38" s="4">
        <f t="shared" si="0"/>
        <v>0.7</v>
      </c>
      <c r="C38">
        <v>700</v>
      </c>
      <c r="D38" s="2">
        <v>95</v>
      </c>
      <c r="E38">
        <v>2.8595000000000002</v>
      </c>
      <c r="F38" s="5" t="s">
        <v>212</v>
      </c>
      <c r="G38" t="s">
        <v>213</v>
      </c>
      <c r="H38" s="6">
        <v>42128</v>
      </c>
      <c r="I38" s="6">
        <v>51501</v>
      </c>
      <c r="K38" s="11"/>
    </row>
    <row r="39" spans="1:11" x14ac:dyDescent="0.25">
      <c r="A39">
        <v>1</v>
      </c>
      <c r="B39" s="4">
        <f t="shared" si="0"/>
        <v>0.72</v>
      </c>
      <c r="C39">
        <v>720</v>
      </c>
      <c r="D39" s="2">
        <v>95</v>
      </c>
      <c r="E39">
        <v>2.9405000000000001</v>
      </c>
      <c r="F39" s="5" t="s">
        <v>214</v>
      </c>
      <c r="G39" t="s">
        <v>215</v>
      </c>
      <c r="H39" s="6">
        <v>42128</v>
      </c>
      <c r="I39" s="6">
        <v>51501</v>
      </c>
      <c r="K39" s="11"/>
    </row>
    <row r="40" spans="1:11" x14ac:dyDescent="0.25">
      <c r="A40">
        <v>1</v>
      </c>
      <c r="B40" s="4">
        <f t="shared" si="0"/>
        <v>0.73</v>
      </c>
      <c r="C40">
        <v>730</v>
      </c>
      <c r="D40" s="2">
        <v>95</v>
      </c>
      <c r="E40">
        <v>2.9811000000000001</v>
      </c>
      <c r="F40" s="5" t="s">
        <v>216</v>
      </c>
      <c r="G40" t="s">
        <v>217</v>
      </c>
      <c r="H40" s="6">
        <v>42128</v>
      </c>
      <c r="I40" s="6">
        <v>51501</v>
      </c>
      <c r="K40" s="10"/>
    </row>
    <row r="41" spans="1:11" x14ac:dyDescent="0.25">
      <c r="A41">
        <v>1</v>
      </c>
      <c r="B41" s="4">
        <f t="shared" si="0"/>
        <v>0.75</v>
      </c>
      <c r="C41">
        <v>750</v>
      </c>
      <c r="D41" s="2">
        <v>95</v>
      </c>
      <c r="E41">
        <v>3.0632999999999999</v>
      </c>
      <c r="F41" s="5" t="s">
        <v>218</v>
      </c>
      <c r="G41" t="s">
        <v>219</v>
      </c>
      <c r="H41" s="6">
        <v>42128</v>
      </c>
      <c r="I41" s="6">
        <v>51501</v>
      </c>
    </row>
    <row r="42" spans="1:11" x14ac:dyDescent="0.25">
      <c r="A42">
        <v>1</v>
      </c>
      <c r="B42" s="4">
        <f t="shared" si="0"/>
        <v>0.9</v>
      </c>
      <c r="C42">
        <v>900</v>
      </c>
      <c r="D42" s="2">
        <v>95</v>
      </c>
      <c r="E42">
        <v>3.1537000000000002</v>
      </c>
      <c r="F42" s="5" t="s">
        <v>220</v>
      </c>
      <c r="G42" t="s">
        <v>221</v>
      </c>
      <c r="H42" s="6">
        <v>42128</v>
      </c>
      <c r="I42" s="6">
        <v>51501</v>
      </c>
    </row>
    <row r="43" spans="1:11" x14ac:dyDescent="0.25">
      <c r="A43">
        <v>1</v>
      </c>
      <c r="B43" s="4">
        <f t="shared" si="0"/>
        <v>9</v>
      </c>
      <c r="C43">
        <v>9000</v>
      </c>
      <c r="D43" s="2">
        <v>95</v>
      </c>
      <c r="E43">
        <v>22.8109</v>
      </c>
      <c r="F43" s="5" t="s">
        <v>222</v>
      </c>
      <c r="G43" t="s">
        <v>223</v>
      </c>
      <c r="H43" s="6">
        <v>42128</v>
      </c>
      <c r="I43" s="6">
        <v>51501</v>
      </c>
    </row>
    <row r="51" spans="1:9" x14ac:dyDescent="0.25">
      <c r="A51" s="2" t="s">
        <v>224</v>
      </c>
    </row>
    <row r="52" spans="1:9" x14ac:dyDescent="0.25">
      <c r="A52">
        <v>2</v>
      </c>
      <c r="B52" s="4">
        <f t="shared" ref="B52:B73" si="1">C52/1000</f>
        <v>1</v>
      </c>
      <c r="C52">
        <v>1000</v>
      </c>
      <c r="D52" s="2">
        <v>95</v>
      </c>
      <c r="E52">
        <v>7.0122</v>
      </c>
      <c r="F52" s="5" t="s">
        <v>225</v>
      </c>
      <c r="G52" t="s">
        <v>226</v>
      </c>
      <c r="H52" s="6">
        <v>42128</v>
      </c>
      <c r="I52" s="6">
        <v>51501</v>
      </c>
    </row>
    <row r="53" spans="1:9" x14ac:dyDescent="0.25">
      <c r="A53">
        <v>2</v>
      </c>
      <c r="B53" s="4">
        <f t="shared" si="1"/>
        <v>0.1875</v>
      </c>
      <c r="C53">
        <v>187.5</v>
      </c>
      <c r="D53" s="2">
        <v>95</v>
      </c>
      <c r="E53">
        <v>1.8190999999999999</v>
      </c>
      <c r="F53" s="5" t="s">
        <v>227</v>
      </c>
      <c r="G53" t="s">
        <v>228</v>
      </c>
      <c r="H53" s="6">
        <v>42128</v>
      </c>
      <c r="I53" s="6">
        <v>51501</v>
      </c>
    </row>
    <row r="54" spans="1:9" x14ac:dyDescent="0.25">
      <c r="A54">
        <v>2</v>
      </c>
      <c r="B54" s="4">
        <f t="shared" si="1"/>
        <v>0.2</v>
      </c>
      <c r="C54">
        <v>200</v>
      </c>
      <c r="D54" s="2">
        <v>95</v>
      </c>
      <c r="E54">
        <v>1.9475</v>
      </c>
      <c r="F54" s="5" t="s">
        <v>229</v>
      </c>
      <c r="G54" t="s">
        <v>230</v>
      </c>
      <c r="H54" s="6">
        <v>42128</v>
      </c>
      <c r="I54" s="6">
        <v>51501</v>
      </c>
    </row>
    <row r="55" spans="1:9" x14ac:dyDescent="0.25">
      <c r="A55">
        <v>2</v>
      </c>
      <c r="B55" s="4">
        <f t="shared" si="1"/>
        <v>0.375</v>
      </c>
      <c r="C55">
        <v>375</v>
      </c>
      <c r="D55" s="2">
        <v>95</v>
      </c>
      <c r="E55">
        <v>3.6457000000000002</v>
      </c>
      <c r="F55" s="5" t="s">
        <v>231</v>
      </c>
      <c r="G55" t="s">
        <v>232</v>
      </c>
      <c r="H55" s="6">
        <v>42128</v>
      </c>
      <c r="I55" s="6">
        <v>51501</v>
      </c>
    </row>
    <row r="56" spans="1:9" x14ac:dyDescent="0.25">
      <c r="A56">
        <v>2</v>
      </c>
      <c r="B56" s="4">
        <f t="shared" si="1"/>
        <v>4.5</v>
      </c>
      <c r="C56">
        <v>4500</v>
      </c>
      <c r="D56" s="2">
        <v>95</v>
      </c>
      <c r="E56">
        <v>22.8109</v>
      </c>
      <c r="F56" s="5" t="s">
        <v>233</v>
      </c>
      <c r="G56" t="s">
        <v>234</v>
      </c>
      <c r="H56" s="6">
        <v>42128</v>
      </c>
      <c r="I56" s="6">
        <v>51501</v>
      </c>
    </row>
    <row r="57" spans="1:9" x14ac:dyDescent="0.25">
      <c r="A57">
        <v>2</v>
      </c>
      <c r="B57" s="4">
        <f t="shared" si="1"/>
        <v>0.75</v>
      </c>
      <c r="C57">
        <v>750</v>
      </c>
      <c r="D57" s="2">
        <v>95</v>
      </c>
      <c r="E57">
        <v>6.1266999999999996</v>
      </c>
      <c r="F57" s="5" t="s">
        <v>235</v>
      </c>
      <c r="G57" t="s">
        <v>236</v>
      </c>
      <c r="H57" s="6">
        <v>42128</v>
      </c>
      <c r="I57" s="6">
        <v>51501</v>
      </c>
    </row>
    <row r="58" spans="1:9" x14ac:dyDescent="0.25">
      <c r="A58">
        <v>3</v>
      </c>
      <c r="B58" s="4">
        <f t="shared" si="1"/>
        <v>0.2</v>
      </c>
      <c r="C58">
        <v>200</v>
      </c>
      <c r="D58" s="2">
        <v>95</v>
      </c>
      <c r="E58">
        <v>2.9087000000000001</v>
      </c>
      <c r="F58" s="5" t="s">
        <v>237</v>
      </c>
      <c r="G58" t="s">
        <v>238</v>
      </c>
      <c r="H58" s="6">
        <v>42128</v>
      </c>
      <c r="I58" s="6">
        <v>51501</v>
      </c>
    </row>
    <row r="59" spans="1:9" x14ac:dyDescent="0.25">
      <c r="A59">
        <v>3</v>
      </c>
      <c r="B59" s="4">
        <f t="shared" si="1"/>
        <v>0.25</v>
      </c>
      <c r="C59">
        <v>250</v>
      </c>
      <c r="D59" s="2">
        <v>95</v>
      </c>
      <c r="E59">
        <v>3.6465999999999998</v>
      </c>
      <c r="F59" s="5" t="s">
        <v>239</v>
      </c>
      <c r="G59" t="s">
        <v>240</v>
      </c>
      <c r="H59" s="6">
        <v>42689</v>
      </c>
      <c r="I59" s="6">
        <v>51501</v>
      </c>
    </row>
    <row r="60" spans="1:9" x14ac:dyDescent="0.25">
      <c r="A60">
        <v>3</v>
      </c>
      <c r="B60" s="4">
        <f t="shared" si="1"/>
        <v>0.375</v>
      </c>
      <c r="C60">
        <v>375</v>
      </c>
      <c r="D60" s="2">
        <v>95</v>
      </c>
      <c r="E60">
        <v>5.4688999999999997</v>
      </c>
      <c r="F60" s="5" t="s">
        <v>241</v>
      </c>
      <c r="G60" t="s">
        <v>242</v>
      </c>
      <c r="H60" s="6">
        <v>42128</v>
      </c>
      <c r="I60" s="6">
        <v>51501</v>
      </c>
    </row>
    <row r="61" spans="1:9" x14ac:dyDescent="0.25">
      <c r="A61">
        <v>3</v>
      </c>
      <c r="B61" s="4">
        <f t="shared" si="1"/>
        <v>0.05</v>
      </c>
      <c r="C61">
        <v>50</v>
      </c>
      <c r="D61" s="2">
        <v>95</v>
      </c>
      <c r="E61">
        <v>0.72799999999999998</v>
      </c>
      <c r="F61" s="5" t="s">
        <v>243</v>
      </c>
      <c r="G61" t="s">
        <v>244</v>
      </c>
      <c r="H61" s="6">
        <v>42128</v>
      </c>
      <c r="I61" s="6">
        <v>51501</v>
      </c>
    </row>
    <row r="62" spans="1:9" x14ac:dyDescent="0.25">
      <c r="A62">
        <v>3</v>
      </c>
      <c r="B62" s="4">
        <f t="shared" si="1"/>
        <v>0.75</v>
      </c>
      <c r="C62">
        <v>750</v>
      </c>
      <c r="D62" s="2">
        <v>95</v>
      </c>
      <c r="E62">
        <v>9.1902000000000008</v>
      </c>
      <c r="F62" s="5" t="s">
        <v>245</v>
      </c>
      <c r="G62" t="s">
        <v>246</v>
      </c>
      <c r="H62" s="6">
        <v>42128</v>
      </c>
      <c r="I62" s="6">
        <v>51501</v>
      </c>
    </row>
    <row r="63" spans="1:9" x14ac:dyDescent="0.25">
      <c r="A63">
        <v>4</v>
      </c>
      <c r="B63" s="4">
        <f t="shared" si="1"/>
        <v>0.187</v>
      </c>
      <c r="C63">
        <v>187</v>
      </c>
      <c r="D63" s="2">
        <v>95</v>
      </c>
      <c r="E63">
        <v>3.6381000000000001</v>
      </c>
      <c r="F63" s="5" t="s">
        <v>247</v>
      </c>
      <c r="G63" t="s">
        <v>248</v>
      </c>
      <c r="H63" s="6">
        <v>42128</v>
      </c>
      <c r="I63" s="6">
        <v>51501</v>
      </c>
    </row>
    <row r="64" spans="1:9" x14ac:dyDescent="0.25">
      <c r="A64">
        <v>4</v>
      </c>
      <c r="B64" s="4">
        <f t="shared" si="1"/>
        <v>0.1875</v>
      </c>
      <c r="C64">
        <v>187.5</v>
      </c>
      <c r="D64" s="2">
        <v>95</v>
      </c>
      <c r="E64">
        <v>3.6480999999999999</v>
      </c>
      <c r="F64" s="5" t="s">
        <v>249</v>
      </c>
      <c r="G64" t="s">
        <v>250</v>
      </c>
      <c r="H64" s="6">
        <v>42128</v>
      </c>
      <c r="I64" s="6">
        <v>51501</v>
      </c>
    </row>
    <row r="65" spans="1:9" x14ac:dyDescent="0.25">
      <c r="A65">
        <v>4</v>
      </c>
      <c r="B65" s="4">
        <f t="shared" si="1"/>
        <v>0.2</v>
      </c>
      <c r="C65">
        <v>200</v>
      </c>
      <c r="D65" s="2">
        <v>95</v>
      </c>
      <c r="E65">
        <v>3.8952</v>
      </c>
      <c r="F65" s="5" t="s">
        <v>251</v>
      </c>
      <c r="G65" t="s">
        <v>252</v>
      </c>
      <c r="H65" s="6">
        <v>42128</v>
      </c>
      <c r="I65" s="6">
        <v>51501</v>
      </c>
    </row>
    <row r="66" spans="1:9" x14ac:dyDescent="0.25">
      <c r="A66">
        <v>4</v>
      </c>
      <c r="B66" s="4">
        <f t="shared" si="1"/>
        <v>0.25</v>
      </c>
      <c r="C66">
        <v>250</v>
      </c>
      <c r="D66" s="2">
        <v>95</v>
      </c>
      <c r="E66">
        <v>4.8625999999999996</v>
      </c>
      <c r="F66" s="5" t="s">
        <v>253</v>
      </c>
      <c r="G66" t="s">
        <v>254</v>
      </c>
      <c r="H66" s="6">
        <v>42128</v>
      </c>
      <c r="I66" s="6">
        <v>51501</v>
      </c>
    </row>
    <row r="67" spans="1:9" x14ac:dyDescent="0.25">
      <c r="A67">
        <v>4</v>
      </c>
      <c r="B67" s="4">
        <f t="shared" si="1"/>
        <v>0.375</v>
      </c>
      <c r="C67">
        <v>375</v>
      </c>
      <c r="D67" s="2">
        <v>95</v>
      </c>
      <c r="E67">
        <v>7.2916999999999996</v>
      </c>
      <c r="F67" s="5" t="s">
        <v>255</v>
      </c>
      <c r="G67" t="s">
        <v>256</v>
      </c>
      <c r="H67" s="6">
        <v>42128</v>
      </c>
      <c r="I67" s="6">
        <v>51501</v>
      </c>
    </row>
    <row r="68" spans="1:9" x14ac:dyDescent="0.25">
      <c r="A68">
        <v>4</v>
      </c>
      <c r="B68" s="4">
        <f t="shared" si="1"/>
        <v>0.5</v>
      </c>
      <c r="C68">
        <v>500</v>
      </c>
      <c r="D68" s="2">
        <v>95</v>
      </c>
      <c r="E68">
        <v>9.7308000000000003</v>
      </c>
      <c r="F68" s="5" t="s">
        <v>257</v>
      </c>
      <c r="G68" t="s">
        <v>258</v>
      </c>
      <c r="H68" s="6">
        <v>42128</v>
      </c>
      <c r="I68" s="6">
        <v>51501</v>
      </c>
    </row>
    <row r="69" spans="1:9" x14ac:dyDescent="0.25">
      <c r="A69">
        <v>6</v>
      </c>
      <c r="B69" s="4">
        <f t="shared" si="1"/>
        <v>0.187</v>
      </c>
      <c r="C69">
        <v>187</v>
      </c>
      <c r="D69" s="2">
        <v>95</v>
      </c>
      <c r="E69">
        <v>5.4573</v>
      </c>
      <c r="F69" s="5" t="s">
        <v>259</v>
      </c>
      <c r="G69" t="s">
        <v>260</v>
      </c>
      <c r="H69" s="6">
        <v>42128</v>
      </c>
      <c r="I69" s="6">
        <v>51501</v>
      </c>
    </row>
    <row r="70" spans="1:9" x14ac:dyDescent="0.25">
      <c r="A70">
        <v>6</v>
      </c>
      <c r="B70" s="4">
        <f t="shared" si="1"/>
        <v>0.25</v>
      </c>
      <c r="C70">
        <v>250</v>
      </c>
      <c r="D70" s="2">
        <v>95</v>
      </c>
      <c r="E70">
        <v>7.2942</v>
      </c>
      <c r="F70" s="5" t="s">
        <v>261</v>
      </c>
      <c r="G70" t="s">
        <v>262</v>
      </c>
      <c r="H70" s="6">
        <v>42128</v>
      </c>
      <c r="I70" s="6">
        <v>51501</v>
      </c>
    </row>
    <row r="71" spans="1:9" x14ac:dyDescent="0.25">
      <c r="A71">
        <v>6</v>
      </c>
      <c r="B71" s="4">
        <f t="shared" si="1"/>
        <v>0.05</v>
      </c>
      <c r="C71">
        <v>50</v>
      </c>
      <c r="D71" s="2">
        <v>95</v>
      </c>
      <c r="E71">
        <v>1.4565999999999999</v>
      </c>
      <c r="F71" s="5" t="s">
        <v>263</v>
      </c>
      <c r="G71" t="s">
        <v>264</v>
      </c>
      <c r="H71" s="6">
        <v>42082</v>
      </c>
      <c r="I71" s="6">
        <v>51501</v>
      </c>
    </row>
    <row r="72" spans="1:9" x14ac:dyDescent="0.25">
      <c r="A72">
        <v>6</v>
      </c>
      <c r="B72" s="4">
        <f t="shared" si="1"/>
        <v>0.75</v>
      </c>
      <c r="C72">
        <v>750</v>
      </c>
      <c r="D72" s="2">
        <v>95</v>
      </c>
      <c r="E72">
        <v>18.38</v>
      </c>
      <c r="F72" s="5" t="s">
        <v>265</v>
      </c>
      <c r="G72" t="s">
        <v>266</v>
      </c>
      <c r="H72" s="6">
        <v>42128</v>
      </c>
      <c r="I72" s="6">
        <v>51501</v>
      </c>
    </row>
    <row r="73" spans="1:9" x14ac:dyDescent="0.25">
      <c r="A73">
        <v>12</v>
      </c>
      <c r="B73" s="4">
        <f t="shared" si="1"/>
        <v>0.05</v>
      </c>
      <c r="C73">
        <v>50</v>
      </c>
      <c r="D73" s="2">
        <v>95</v>
      </c>
      <c r="E73">
        <v>2.9125000000000001</v>
      </c>
      <c r="F73" s="5" t="s">
        <v>267</v>
      </c>
      <c r="G73" t="s">
        <v>268</v>
      </c>
      <c r="H73" s="6">
        <v>42128</v>
      </c>
      <c r="I73" s="6">
        <v>51501</v>
      </c>
    </row>
    <row r="84" spans="10:11" ht="13.5" customHeight="1" x14ac:dyDescent="0.25">
      <c r="J84" s="9"/>
      <c r="K84" s="11"/>
    </row>
  </sheetData>
  <conditionalFormatting sqref="B4:B43 B2">
    <cfRule type="duplicateValues" dxfId="6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45"/>
  <sheetViews>
    <sheetView topLeftCell="D1" workbookViewId="0">
      <selection activeCell="L7" sqref="L7:N7"/>
    </sheetView>
  </sheetViews>
  <sheetFormatPr defaultRowHeight="15" x14ac:dyDescent="0.25"/>
  <cols>
    <col min="5" max="5" width="17.28515625" bestFit="1" customWidth="1"/>
    <col min="7" max="7" width="26.7109375" bestFit="1" customWidth="1"/>
    <col min="8" max="8" width="9.7109375" bestFit="1" customWidth="1"/>
    <col min="9" max="9" width="10.7109375" bestFit="1" customWidth="1"/>
    <col min="10" max="10" width="2.140625" customWidth="1"/>
    <col min="19" max="19" width="26.7109375" bestFit="1" customWidth="1"/>
    <col min="20" max="20" width="13.5703125" bestFit="1" customWidth="1"/>
    <col min="21" max="21" width="11" bestFit="1" customWidth="1"/>
    <col min="22" max="22" width="1.85546875" customWidth="1"/>
  </cols>
  <sheetData>
    <row r="1" spans="1:26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8"/>
      <c r="L1" s="1" t="s">
        <v>1</v>
      </c>
      <c r="M1" s="1" t="s">
        <v>2</v>
      </c>
      <c r="N1" s="1" t="s">
        <v>3</v>
      </c>
      <c r="O1" s="1" t="s">
        <v>87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9"/>
      <c r="X1" t="s">
        <v>893</v>
      </c>
    </row>
    <row r="2" spans="1:26" x14ac:dyDescent="0.25">
      <c r="A2">
        <v>1</v>
      </c>
      <c r="B2" s="4">
        <f t="shared" ref="B2:B45" si="0">C2/1000</f>
        <v>0.05</v>
      </c>
      <c r="C2">
        <v>50</v>
      </c>
      <c r="D2">
        <v>95</v>
      </c>
      <c r="E2">
        <v>0.14960000000000001</v>
      </c>
      <c r="F2" s="5" t="s">
        <v>269</v>
      </c>
      <c r="G2" t="s">
        <v>270</v>
      </c>
      <c r="H2" s="6">
        <v>42128</v>
      </c>
      <c r="I2" s="6">
        <v>51501</v>
      </c>
      <c r="J2" s="12"/>
      <c r="L2">
        <v>2</v>
      </c>
      <c r="M2" s="4">
        <f t="shared" ref="M2:M28" si="1">N2/1000</f>
        <v>0.27500000000000002</v>
      </c>
      <c r="N2">
        <v>275</v>
      </c>
      <c r="O2" s="4">
        <f>SUM(L2*M2)</f>
        <v>0.55000000000000004</v>
      </c>
      <c r="P2">
        <v>95</v>
      </c>
      <c r="Q2">
        <v>1.6456</v>
      </c>
      <c r="R2" s="5" t="s">
        <v>271</v>
      </c>
      <c r="S2" t="s">
        <v>272</v>
      </c>
      <c r="T2" s="6">
        <v>42128</v>
      </c>
      <c r="U2" s="6">
        <v>51501</v>
      </c>
      <c r="V2" s="9"/>
      <c r="X2" t="s">
        <v>889</v>
      </c>
      <c r="Y2" t="s">
        <v>890</v>
      </c>
      <c r="Z2" t="s">
        <v>891</v>
      </c>
    </row>
    <row r="3" spans="1:26" x14ac:dyDescent="0.25">
      <c r="A3">
        <v>1</v>
      </c>
      <c r="B3" s="4">
        <f t="shared" si="0"/>
        <v>0.1</v>
      </c>
      <c r="C3">
        <v>100</v>
      </c>
      <c r="D3">
        <v>95</v>
      </c>
      <c r="E3">
        <v>0.28860000000000002</v>
      </c>
      <c r="F3" s="5" t="s">
        <v>273</v>
      </c>
      <c r="G3" t="s">
        <v>274</v>
      </c>
      <c r="H3" s="6">
        <v>42128</v>
      </c>
      <c r="I3" s="6">
        <v>51501</v>
      </c>
      <c r="J3" s="12"/>
      <c r="L3">
        <v>4</v>
      </c>
      <c r="M3" s="4">
        <f t="shared" si="1"/>
        <v>0.25</v>
      </c>
      <c r="N3">
        <v>250</v>
      </c>
      <c r="O3" s="4">
        <f t="shared" ref="O3:O28" si="2">SUM(L3*M3)</f>
        <v>1</v>
      </c>
      <c r="P3">
        <v>95</v>
      </c>
      <c r="Q3">
        <v>2.9916</v>
      </c>
      <c r="R3" s="5" t="s">
        <v>275</v>
      </c>
      <c r="S3" t="s">
        <v>276</v>
      </c>
      <c r="T3" s="6">
        <v>42384</v>
      </c>
      <c r="U3" s="6">
        <v>51501</v>
      </c>
      <c r="V3" s="9"/>
      <c r="X3">
        <v>1</v>
      </c>
      <c r="Y3">
        <v>42.11</v>
      </c>
      <c r="Z3">
        <v>1.2154</v>
      </c>
    </row>
    <row r="4" spans="1:26" x14ac:dyDescent="0.25">
      <c r="A4">
        <v>1</v>
      </c>
      <c r="B4" s="4">
        <f t="shared" si="0"/>
        <v>0.187</v>
      </c>
      <c r="C4">
        <v>187</v>
      </c>
      <c r="D4">
        <v>95</v>
      </c>
      <c r="E4">
        <v>0.5595</v>
      </c>
      <c r="F4" s="5" t="s">
        <v>277</v>
      </c>
      <c r="G4" t="s">
        <v>278</v>
      </c>
      <c r="H4" s="6">
        <v>42387</v>
      </c>
      <c r="I4" s="6">
        <v>51501</v>
      </c>
      <c r="J4" s="12"/>
      <c r="L4">
        <v>4</v>
      </c>
      <c r="M4" s="4">
        <f t="shared" si="1"/>
        <v>0.27500000000000002</v>
      </c>
      <c r="N4">
        <v>275</v>
      </c>
      <c r="O4" s="4">
        <f t="shared" si="2"/>
        <v>1.1000000000000001</v>
      </c>
      <c r="P4">
        <v>95</v>
      </c>
      <c r="Q4">
        <v>3.2915000000000001</v>
      </c>
      <c r="R4" s="5" t="s">
        <v>279</v>
      </c>
      <c r="S4" t="s">
        <v>280</v>
      </c>
      <c r="T4" s="6">
        <v>42128</v>
      </c>
      <c r="U4" s="6">
        <v>51501</v>
      </c>
      <c r="V4" s="9"/>
      <c r="X4">
        <v>2</v>
      </c>
      <c r="Y4">
        <v>52.63</v>
      </c>
      <c r="Z4">
        <v>1.5189999999999999</v>
      </c>
    </row>
    <row r="5" spans="1:26" x14ac:dyDescent="0.25">
      <c r="A5">
        <v>1</v>
      </c>
      <c r="B5" s="4">
        <f t="shared" si="0"/>
        <v>0.2</v>
      </c>
      <c r="C5">
        <v>200</v>
      </c>
      <c r="D5">
        <v>95</v>
      </c>
      <c r="E5">
        <v>0.59870000000000001</v>
      </c>
      <c r="F5" s="5" t="s">
        <v>281</v>
      </c>
      <c r="G5" t="s">
        <v>282</v>
      </c>
      <c r="H5" s="6">
        <v>42128</v>
      </c>
      <c r="I5" s="6">
        <v>51501</v>
      </c>
      <c r="J5" s="12"/>
      <c r="L5">
        <v>4</v>
      </c>
      <c r="M5" s="4">
        <f t="shared" si="1"/>
        <v>0.3</v>
      </c>
      <c r="N5">
        <v>300</v>
      </c>
      <c r="O5" s="4">
        <f t="shared" si="2"/>
        <v>1.2</v>
      </c>
      <c r="P5">
        <v>95</v>
      </c>
      <c r="Q5">
        <v>3.5914999999999999</v>
      </c>
      <c r="R5" s="5" t="s">
        <v>283</v>
      </c>
      <c r="S5" t="s">
        <v>284</v>
      </c>
      <c r="T5" s="6">
        <v>42128</v>
      </c>
      <c r="U5" s="6">
        <v>51501</v>
      </c>
      <c r="V5" s="9"/>
      <c r="X5">
        <v>3</v>
      </c>
      <c r="Y5">
        <v>68.42</v>
      </c>
      <c r="Z5">
        <v>1.9746999999999999</v>
      </c>
    </row>
    <row r="6" spans="1:26" x14ac:dyDescent="0.25">
      <c r="A6">
        <v>1</v>
      </c>
      <c r="B6" s="4">
        <f t="shared" si="0"/>
        <v>0.23699999999999999</v>
      </c>
      <c r="C6">
        <v>237</v>
      </c>
      <c r="D6">
        <v>95</v>
      </c>
      <c r="E6">
        <v>0.70879999999999999</v>
      </c>
      <c r="F6" s="5" t="s">
        <v>285</v>
      </c>
      <c r="G6" t="s">
        <v>286</v>
      </c>
      <c r="H6" s="6">
        <v>42128</v>
      </c>
      <c r="I6" s="6">
        <v>51501</v>
      </c>
      <c r="J6" s="12"/>
      <c r="L6">
        <v>4</v>
      </c>
      <c r="M6" s="4">
        <f t="shared" si="1"/>
        <v>0.33</v>
      </c>
      <c r="N6">
        <v>330</v>
      </c>
      <c r="O6" s="4">
        <f t="shared" si="2"/>
        <v>1.32</v>
      </c>
      <c r="P6">
        <v>95</v>
      </c>
      <c r="Q6">
        <v>3.4249000000000001</v>
      </c>
      <c r="R6" s="5" t="s">
        <v>287</v>
      </c>
      <c r="S6" t="s">
        <v>288</v>
      </c>
      <c r="T6" s="6">
        <v>42128</v>
      </c>
      <c r="U6" s="6">
        <v>51501</v>
      </c>
      <c r="V6" s="9"/>
      <c r="X6">
        <v>4</v>
      </c>
      <c r="Y6">
        <v>84.21</v>
      </c>
      <c r="Z6">
        <v>2.4304999999999999</v>
      </c>
    </row>
    <row r="7" spans="1:26" x14ac:dyDescent="0.25">
      <c r="A7">
        <v>1</v>
      </c>
      <c r="B7" s="4">
        <f t="shared" si="0"/>
        <v>0.25</v>
      </c>
      <c r="C7">
        <v>250</v>
      </c>
      <c r="D7">
        <v>95</v>
      </c>
      <c r="E7">
        <v>0.74790000000000001</v>
      </c>
      <c r="F7" s="5" t="s">
        <v>289</v>
      </c>
      <c r="G7" t="s">
        <v>290</v>
      </c>
      <c r="H7" s="6">
        <v>42128</v>
      </c>
      <c r="I7" s="6">
        <v>51501</v>
      </c>
      <c r="J7" s="12"/>
      <c r="L7">
        <v>4</v>
      </c>
      <c r="M7" s="4">
        <f t="shared" si="1"/>
        <v>0.33300000000000002</v>
      </c>
      <c r="N7">
        <v>333</v>
      </c>
      <c r="O7" s="4">
        <f t="shared" si="2"/>
        <v>1.3320000000000001</v>
      </c>
      <c r="P7">
        <v>95</v>
      </c>
      <c r="Q7">
        <v>3.4565000000000001</v>
      </c>
      <c r="R7" s="5" t="s">
        <v>291</v>
      </c>
      <c r="S7" t="s">
        <v>292</v>
      </c>
      <c r="T7" s="6">
        <v>42128</v>
      </c>
      <c r="U7" s="6">
        <v>51501</v>
      </c>
      <c r="V7" s="9"/>
    </row>
    <row r="8" spans="1:26" x14ac:dyDescent="0.25">
      <c r="A8">
        <v>1</v>
      </c>
      <c r="B8" s="4">
        <f t="shared" si="0"/>
        <v>0.27</v>
      </c>
      <c r="C8">
        <v>270</v>
      </c>
      <c r="D8">
        <v>95</v>
      </c>
      <c r="E8">
        <v>0.80789999999999995</v>
      </c>
      <c r="F8" s="5" t="s">
        <v>293</v>
      </c>
      <c r="G8" t="s">
        <v>294</v>
      </c>
      <c r="H8" s="6">
        <v>42128</v>
      </c>
      <c r="I8" s="6">
        <v>51501</v>
      </c>
      <c r="J8" s="12"/>
      <c r="L8">
        <v>4</v>
      </c>
      <c r="M8" s="4">
        <f t="shared" si="1"/>
        <v>0.34</v>
      </c>
      <c r="N8">
        <v>340</v>
      </c>
      <c r="O8" s="4">
        <f t="shared" si="2"/>
        <v>1.36</v>
      </c>
      <c r="P8">
        <v>95</v>
      </c>
      <c r="Q8">
        <v>3.5293000000000001</v>
      </c>
      <c r="R8" s="5" t="s">
        <v>295</v>
      </c>
      <c r="S8" t="s">
        <v>296</v>
      </c>
      <c r="T8" s="6">
        <v>42128</v>
      </c>
      <c r="U8" s="6">
        <v>51501</v>
      </c>
      <c r="V8" s="9"/>
    </row>
    <row r="9" spans="1:26" x14ac:dyDescent="0.25">
      <c r="A9">
        <v>1</v>
      </c>
      <c r="B9" s="4">
        <f t="shared" si="0"/>
        <v>0.27500000000000002</v>
      </c>
      <c r="C9">
        <v>275</v>
      </c>
      <c r="D9">
        <v>95</v>
      </c>
      <c r="E9">
        <v>0.82279999999999998</v>
      </c>
      <c r="F9" s="5" t="s">
        <v>297</v>
      </c>
      <c r="G9" t="s">
        <v>298</v>
      </c>
      <c r="H9" s="6">
        <v>42128</v>
      </c>
      <c r="I9" s="6">
        <v>51501</v>
      </c>
      <c r="J9" s="12"/>
      <c r="L9">
        <v>4</v>
      </c>
      <c r="M9" s="4">
        <f t="shared" si="1"/>
        <v>0.34100000000000003</v>
      </c>
      <c r="N9">
        <v>341</v>
      </c>
      <c r="O9" s="4">
        <f t="shared" si="2"/>
        <v>1.3640000000000001</v>
      </c>
      <c r="P9">
        <v>95</v>
      </c>
      <c r="Q9">
        <v>3.5390999999999999</v>
      </c>
      <c r="R9" s="5" t="s">
        <v>299</v>
      </c>
      <c r="S9" t="s">
        <v>300</v>
      </c>
      <c r="T9" s="6">
        <v>42128</v>
      </c>
      <c r="U9" s="6">
        <v>51501</v>
      </c>
      <c r="V9" s="9"/>
    </row>
    <row r="10" spans="1:26" x14ac:dyDescent="0.25">
      <c r="A10">
        <v>1</v>
      </c>
      <c r="B10" s="4">
        <f t="shared" si="0"/>
        <v>0.29599999999999999</v>
      </c>
      <c r="C10">
        <v>296</v>
      </c>
      <c r="D10">
        <v>95</v>
      </c>
      <c r="E10">
        <v>0.84409999999999996</v>
      </c>
      <c r="F10" s="5" t="s">
        <v>301</v>
      </c>
      <c r="G10" t="s">
        <v>302</v>
      </c>
      <c r="H10" s="6">
        <v>42128</v>
      </c>
      <c r="I10" s="6">
        <v>51501</v>
      </c>
      <c r="J10" s="12"/>
      <c r="L10">
        <v>4</v>
      </c>
      <c r="M10" s="4">
        <f t="shared" si="1"/>
        <v>0.35499999999999998</v>
      </c>
      <c r="N10">
        <v>355</v>
      </c>
      <c r="O10" s="4">
        <f t="shared" si="2"/>
        <v>1.42</v>
      </c>
      <c r="P10">
        <v>95</v>
      </c>
      <c r="Q10">
        <v>3.6844000000000001</v>
      </c>
      <c r="R10" s="5" t="s">
        <v>303</v>
      </c>
      <c r="S10" t="s">
        <v>304</v>
      </c>
      <c r="T10" s="6">
        <v>42128</v>
      </c>
      <c r="U10" s="6">
        <v>51501</v>
      </c>
      <c r="V10" s="9"/>
    </row>
    <row r="11" spans="1:26" x14ac:dyDescent="0.25">
      <c r="A11">
        <v>1</v>
      </c>
      <c r="B11" s="4">
        <f t="shared" si="0"/>
        <v>0.3</v>
      </c>
      <c r="C11">
        <v>300</v>
      </c>
      <c r="D11">
        <v>95</v>
      </c>
      <c r="E11">
        <v>0.85540000000000005</v>
      </c>
      <c r="F11" s="5" t="s">
        <v>305</v>
      </c>
      <c r="G11" t="s">
        <v>306</v>
      </c>
      <c r="H11" s="6">
        <v>42128</v>
      </c>
      <c r="I11" s="6">
        <v>51501</v>
      </c>
      <c r="J11" s="12"/>
      <c r="L11">
        <v>4</v>
      </c>
      <c r="M11" s="4">
        <f t="shared" si="1"/>
        <v>0.4</v>
      </c>
      <c r="N11">
        <v>400</v>
      </c>
      <c r="O11" s="4">
        <f t="shared" si="2"/>
        <v>1.6</v>
      </c>
      <c r="P11">
        <v>95</v>
      </c>
      <c r="Q11">
        <v>4.8685999999999998</v>
      </c>
      <c r="R11" s="5" t="s">
        <v>307</v>
      </c>
      <c r="S11" t="s">
        <v>308</v>
      </c>
      <c r="T11" s="6">
        <v>42128</v>
      </c>
      <c r="U11" s="6">
        <v>51501</v>
      </c>
      <c r="V11" s="9"/>
    </row>
    <row r="12" spans="1:26" x14ac:dyDescent="0.25">
      <c r="A12">
        <v>1</v>
      </c>
      <c r="B12" s="4">
        <f t="shared" si="0"/>
        <v>0.33</v>
      </c>
      <c r="C12">
        <v>330</v>
      </c>
      <c r="D12">
        <v>95</v>
      </c>
      <c r="E12">
        <v>0.98770000000000002</v>
      </c>
      <c r="F12" s="5" t="s">
        <v>309</v>
      </c>
      <c r="G12" t="s">
        <v>310</v>
      </c>
      <c r="H12" s="6">
        <v>42128</v>
      </c>
      <c r="I12" s="6">
        <v>51501</v>
      </c>
      <c r="J12" s="12"/>
      <c r="L12">
        <v>4</v>
      </c>
      <c r="M12" s="4">
        <f t="shared" si="1"/>
        <v>0.47299999999999998</v>
      </c>
      <c r="N12">
        <v>473</v>
      </c>
      <c r="O12" s="4">
        <f t="shared" si="2"/>
        <v>1.8919999999999999</v>
      </c>
      <c r="P12">
        <v>95</v>
      </c>
      <c r="Q12">
        <v>3.7738999999999998</v>
      </c>
      <c r="R12" s="5" t="s">
        <v>311</v>
      </c>
      <c r="S12" t="s">
        <v>312</v>
      </c>
      <c r="T12" s="6">
        <v>42387</v>
      </c>
      <c r="U12" s="6">
        <v>51501</v>
      </c>
      <c r="V12" s="9"/>
    </row>
    <row r="13" spans="1:26" x14ac:dyDescent="0.25">
      <c r="A13">
        <v>1</v>
      </c>
      <c r="B13" s="4">
        <f t="shared" si="0"/>
        <v>0.33300000000000002</v>
      </c>
      <c r="C13">
        <v>333</v>
      </c>
      <c r="D13">
        <v>95</v>
      </c>
      <c r="E13">
        <v>0.99619999999999997</v>
      </c>
      <c r="F13" s="5" t="s">
        <v>313</v>
      </c>
      <c r="G13" t="s">
        <v>314</v>
      </c>
      <c r="H13" s="6">
        <v>42128</v>
      </c>
      <c r="I13" s="6">
        <v>51501</v>
      </c>
      <c r="J13" s="12"/>
      <c r="L13">
        <v>4</v>
      </c>
      <c r="M13" s="4">
        <f t="shared" si="1"/>
        <v>0.5</v>
      </c>
      <c r="N13">
        <v>500</v>
      </c>
      <c r="O13" s="4">
        <f t="shared" si="2"/>
        <v>2</v>
      </c>
      <c r="P13">
        <v>95</v>
      </c>
      <c r="Q13">
        <v>4.6303999999999998</v>
      </c>
      <c r="R13" s="5" t="s">
        <v>315</v>
      </c>
      <c r="S13" t="s">
        <v>316</v>
      </c>
      <c r="T13" s="6">
        <v>42128</v>
      </c>
      <c r="U13" s="6">
        <v>51501</v>
      </c>
      <c r="V13" s="9"/>
    </row>
    <row r="14" spans="1:26" x14ac:dyDescent="0.25">
      <c r="A14">
        <v>1</v>
      </c>
      <c r="B14" s="4">
        <f t="shared" si="0"/>
        <v>0.34100000000000003</v>
      </c>
      <c r="C14">
        <v>341</v>
      </c>
      <c r="D14">
        <v>95</v>
      </c>
      <c r="E14">
        <v>1.0203</v>
      </c>
      <c r="F14" s="5" t="s">
        <v>317</v>
      </c>
      <c r="G14" t="s">
        <v>318</v>
      </c>
      <c r="H14" s="6">
        <v>42128</v>
      </c>
      <c r="I14" s="6">
        <v>51501</v>
      </c>
      <c r="J14" s="12"/>
      <c r="L14">
        <v>6</v>
      </c>
      <c r="M14" s="4">
        <f t="shared" si="1"/>
        <v>0.33</v>
      </c>
      <c r="N14">
        <v>330</v>
      </c>
      <c r="O14" s="4">
        <f t="shared" si="2"/>
        <v>1.98</v>
      </c>
      <c r="P14">
        <v>95</v>
      </c>
      <c r="Q14">
        <v>3.9504000000000001</v>
      </c>
      <c r="R14" s="5" t="s">
        <v>319</v>
      </c>
      <c r="S14" t="s">
        <v>320</v>
      </c>
      <c r="T14" s="6">
        <v>42128</v>
      </c>
      <c r="U14" s="6">
        <v>51501</v>
      </c>
      <c r="V14" s="9"/>
    </row>
    <row r="15" spans="1:26" x14ac:dyDescent="0.25">
      <c r="A15">
        <v>1</v>
      </c>
      <c r="B15" s="4">
        <f t="shared" si="0"/>
        <v>0.35499999999999998</v>
      </c>
      <c r="C15">
        <v>355</v>
      </c>
      <c r="D15">
        <v>95</v>
      </c>
      <c r="E15">
        <v>1.0625</v>
      </c>
      <c r="F15" s="5" t="s">
        <v>321</v>
      </c>
      <c r="G15" t="s">
        <v>322</v>
      </c>
      <c r="H15" s="6">
        <v>42128</v>
      </c>
      <c r="I15" s="6">
        <v>51501</v>
      </c>
      <c r="J15" s="12"/>
      <c r="L15">
        <v>6</v>
      </c>
      <c r="M15" s="4">
        <f t="shared" si="1"/>
        <v>0.34100000000000003</v>
      </c>
      <c r="N15">
        <v>341</v>
      </c>
      <c r="O15" s="4">
        <f t="shared" si="2"/>
        <v>2.0460000000000003</v>
      </c>
      <c r="P15">
        <v>95</v>
      </c>
      <c r="Q15">
        <v>4.5296000000000003</v>
      </c>
      <c r="R15" s="5" t="s">
        <v>323</v>
      </c>
      <c r="S15" t="s">
        <v>324</v>
      </c>
      <c r="T15" s="6">
        <v>42128</v>
      </c>
      <c r="U15" s="6">
        <v>51501</v>
      </c>
      <c r="V15" s="9"/>
    </row>
    <row r="16" spans="1:26" x14ac:dyDescent="0.25">
      <c r="A16">
        <v>1</v>
      </c>
      <c r="B16" s="4">
        <f t="shared" si="0"/>
        <v>0.36</v>
      </c>
      <c r="C16">
        <v>360</v>
      </c>
      <c r="D16">
        <v>95</v>
      </c>
      <c r="E16">
        <v>1.0773999999999999</v>
      </c>
      <c r="F16" s="5" t="s">
        <v>325</v>
      </c>
      <c r="G16" t="s">
        <v>326</v>
      </c>
      <c r="H16" s="6">
        <v>42570</v>
      </c>
      <c r="I16" s="6">
        <v>51501</v>
      </c>
      <c r="J16" s="12"/>
      <c r="L16">
        <v>6</v>
      </c>
      <c r="M16" s="4">
        <f t="shared" si="1"/>
        <v>0.35499999999999998</v>
      </c>
      <c r="N16">
        <v>355</v>
      </c>
      <c r="O16" s="4">
        <f t="shared" si="2"/>
        <v>2.13</v>
      </c>
      <c r="P16">
        <v>95</v>
      </c>
      <c r="Q16">
        <v>4.7154999999999996</v>
      </c>
      <c r="R16" s="5" t="s">
        <v>327</v>
      </c>
      <c r="S16" t="s">
        <v>328</v>
      </c>
      <c r="T16" s="6">
        <v>42128</v>
      </c>
      <c r="U16" s="6">
        <v>51501</v>
      </c>
      <c r="V16" s="9"/>
    </row>
    <row r="17" spans="1:22" x14ac:dyDescent="0.25">
      <c r="A17">
        <v>1</v>
      </c>
      <c r="B17" s="4">
        <f t="shared" si="0"/>
        <v>0.375</v>
      </c>
      <c r="C17">
        <v>375</v>
      </c>
      <c r="D17">
        <v>95</v>
      </c>
      <c r="E17">
        <v>1.1227</v>
      </c>
      <c r="F17" s="5" t="s">
        <v>329</v>
      </c>
      <c r="G17" t="s">
        <v>330</v>
      </c>
      <c r="H17" s="6">
        <v>42128</v>
      </c>
      <c r="I17" s="6">
        <v>51501</v>
      </c>
      <c r="J17" s="12"/>
      <c r="L17">
        <v>8</v>
      </c>
      <c r="M17" s="4">
        <f t="shared" si="1"/>
        <v>0.33</v>
      </c>
      <c r="N17">
        <v>330</v>
      </c>
      <c r="O17" s="4">
        <f t="shared" si="2"/>
        <v>2.64</v>
      </c>
      <c r="P17">
        <v>95</v>
      </c>
      <c r="Q17">
        <v>5.7525000000000004</v>
      </c>
      <c r="R17" s="5" t="s">
        <v>331</v>
      </c>
      <c r="S17" t="s">
        <v>332</v>
      </c>
      <c r="T17" s="6">
        <v>42075</v>
      </c>
      <c r="U17" s="6">
        <v>51501</v>
      </c>
      <c r="V17" s="9"/>
    </row>
    <row r="18" spans="1:22" x14ac:dyDescent="0.25">
      <c r="A18">
        <v>1</v>
      </c>
      <c r="B18" s="4">
        <f t="shared" si="0"/>
        <v>0.4</v>
      </c>
      <c r="C18">
        <v>400</v>
      </c>
      <c r="D18">
        <v>95</v>
      </c>
      <c r="E18">
        <v>1.1968000000000001</v>
      </c>
      <c r="F18" s="5" t="s">
        <v>333</v>
      </c>
      <c r="G18" t="s">
        <v>334</v>
      </c>
      <c r="H18" s="6">
        <v>42128</v>
      </c>
      <c r="I18" s="6">
        <v>51501</v>
      </c>
      <c r="J18" s="12"/>
      <c r="L18">
        <v>8</v>
      </c>
      <c r="M18" s="4">
        <f t="shared" si="1"/>
        <v>0.34100000000000003</v>
      </c>
      <c r="N18">
        <v>341</v>
      </c>
      <c r="O18" s="4">
        <f t="shared" si="2"/>
        <v>2.7280000000000002</v>
      </c>
      <c r="P18">
        <v>95</v>
      </c>
      <c r="Q18">
        <v>5.4424999999999999</v>
      </c>
      <c r="R18" s="5" t="s">
        <v>335</v>
      </c>
      <c r="S18" t="s">
        <v>336</v>
      </c>
      <c r="T18" s="6">
        <v>42128</v>
      </c>
      <c r="U18" s="6">
        <v>51501</v>
      </c>
      <c r="V18" s="9"/>
    </row>
    <row r="19" spans="1:22" x14ac:dyDescent="0.25">
      <c r="A19">
        <v>1</v>
      </c>
      <c r="B19" s="4">
        <f t="shared" si="0"/>
        <v>0.44</v>
      </c>
      <c r="C19">
        <v>440</v>
      </c>
      <c r="D19">
        <v>95</v>
      </c>
      <c r="E19">
        <v>1.3167</v>
      </c>
      <c r="F19" s="5" t="s">
        <v>337</v>
      </c>
      <c r="G19" t="s">
        <v>338</v>
      </c>
      <c r="H19" s="6">
        <v>42128</v>
      </c>
      <c r="I19" s="6">
        <v>51501</v>
      </c>
      <c r="J19" s="12"/>
      <c r="L19">
        <v>8</v>
      </c>
      <c r="M19" s="4">
        <f t="shared" si="1"/>
        <v>0.35499999999999998</v>
      </c>
      <c r="N19">
        <v>355</v>
      </c>
      <c r="O19" s="4">
        <f t="shared" si="2"/>
        <v>2.84</v>
      </c>
      <c r="P19">
        <v>95</v>
      </c>
      <c r="Q19">
        <v>6.1883999999999997</v>
      </c>
      <c r="R19" s="5" t="s">
        <v>339</v>
      </c>
      <c r="S19" t="s">
        <v>340</v>
      </c>
      <c r="T19" s="6">
        <v>42075</v>
      </c>
      <c r="U19" s="6">
        <v>51501</v>
      </c>
      <c r="V19" s="9"/>
    </row>
    <row r="20" spans="1:22" x14ac:dyDescent="0.25">
      <c r="A20">
        <v>1</v>
      </c>
      <c r="B20" s="4">
        <f t="shared" si="0"/>
        <v>0.45800000000000002</v>
      </c>
      <c r="C20">
        <v>458</v>
      </c>
      <c r="D20">
        <v>95</v>
      </c>
      <c r="E20">
        <v>1.3712</v>
      </c>
      <c r="F20" s="5" t="s">
        <v>341</v>
      </c>
      <c r="G20" t="s">
        <v>342</v>
      </c>
      <c r="H20" s="6">
        <v>42128</v>
      </c>
      <c r="I20" s="6">
        <v>51501</v>
      </c>
      <c r="J20" s="12"/>
      <c r="L20">
        <v>8</v>
      </c>
      <c r="M20" s="4">
        <f t="shared" si="1"/>
        <v>0.44</v>
      </c>
      <c r="N20">
        <v>440</v>
      </c>
      <c r="O20" s="4">
        <f t="shared" si="2"/>
        <v>3.52</v>
      </c>
      <c r="P20">
        <v>95</v>
      </c>
      <c r="Q20">
        <v>7.7938000000000001</v>
      </c>
      <c r="R20" s="5" t="s">
        <v>343</v>
      </c>
      <c r="S20" t="s">
        <v>344</v>
      </c>
      <c r="T20" s="6">
        <v>42387</v>
      </c>
      <c r="U20" s="6">
        <v>51501</v>
      </c>
      <c r="V20" s="9"/>
    </row>
    <row r="21" spans="1:22" x14ac:dyDescent="0.25">
      <c r="A21">
        <v>1</v>
      </c>
      <c r="B21" s="4">
        <f t="shared" si="0"/>
        <v>0.47299999999999998</v>
      </c>
      <c r="C21">
        <v>473</v>
      </c>
      <c r="D21">
        <v>95</v>
      </c>
      <c r="E21">
        <v>1.4160999999999999</v>
      </c>
      <c r="F21" s="5" t="s">
        <v>345</v>
      </c>
      <c r="G21" t="s">
        <v>346</v>
      </c>
      <c r="H21" s="6">
        <v>42128</v>
      </c>
      <c r="I21" s="6">
        <v>51501</v>
      </c>
      <c r="J21" s="12"/>
      <c r="L21">
        <v>8</v>
      </c>
      <c r="M21" s="4">
        <f t="shared" si="1"/>
        <v>0.5</v>
      </c>
      <c r="N21">
        <v>500</v>
      </c>
      <c r="O21" s="4">
        <f t="shared" si="2"/>
        <v>4</v>
      </c>
      <c r="P21">
        <v>95</v>
      </c>
      <c r="Q21">
        <v>8.8567</v>
      </c>
      <c r="R21" s="5" t="s">
        <v>347</v>
      </c>
      <c r="S21" t="s">
        <v>348</v>
      </c>
      <c r="T21" s="6">
        <v>42387</v>
      </c>
      <c r="U21" s="6">
        <v>51501</v>
      </c>
      <c r="V21" s="9"/>
    </row>
    <row r="22" spans="1:22" x14ac:dyDescent="0.25">
      <c r="A22">
        <v>1</v>
      </c>
      <c r="B22" s="4">
        <f t="shared" si="0"/>
        <v>0.5</v>
      </c>
      <c r="C22">
        <v>500</v>
      </c>
      <c r="D22">
        <v>95</v>
      </c>
      <c r="E22">
        <v>1.4431</v>
      </c>
      <c r="F22" s="5" t="s">
        <v>349</v>
      </c>
      <c r="G22" t="s">
        <v>350</v>
      </c>
      <c r="H22" s="6">
        <v>42128</v>
      </c>
      <c r="I22" s="6">
        <v>51501</v>
      </c>
      <c r="J22" s="12"/>
      <c r="L22">
        <v>12</v>
      </c>
      <c r="M22" s="4">
        <f t="shared" si="1"/>
        <v>0.23599999999999999</v>
      </c>
      <c r="N22">
        <v>236</v>
      </c>
      <c r="O22" s="4">
        <f t="shared" si="2"/>
        <v>2.8319999999999999</v>
      </c>
      <c r="P22">
        <v>95</v>
      </c>
      <c r="Q22">
        <v>6.1708999999999996</v>
      </c>
      <c r="R22" s="5" t="s">
        <v>351</v>
      </c>
      <c r="S22" t="s">
        <v>352</v>
      </c>
      <c r="T22" s="6">
        <v>42075</v>
      </c>
      <c r="U22" s="6">
        <v>51501</v>
      </c>
      <c r="V22" s="9"/>
    </row>
    <row r="23" spans="1:22" x14ac:dyDescent="0.25">
      <c r="A23">
        <v>1</v>
      </c>
      <c r="B23" s="4">
        <f t="shared" si="0"/>
        <v>0.65</v>
      </c>
      <c r="C23">
        <v>650</v>
      </c>
      <c r="D23">
        <v>95</v>
      </c>
      <c r="E23">
        <v>1.8759999999999999</v>
      </c>
      <c r="F23" s="5" t="s">
        <v>353</v>
      </c>
      <c r="G23" t="s">
        <v>354</v>
      </c>
      <c r="H23" s="6">
        <v>42128</v>
      </c>
      <c r="I23" s="6">
        <v>51501</v>
      </c>
      <c r="J23" s="12"/>
      <c r="L23">
        <v>12</v>
      </c>
      <c r="M23" s="4">
        <f t="shared" si="1"/>
        <v>0.33</v>
      </c>
      <c r="N23">
        <v>330</v>
      </c>
      <c r="O23" s="4">
        <f t="shared" si="2"/>
        <v>3.96</v>
      </c>
      <c r="P23">
        <v>95</v>
      </c>
      <c r="Q23">
        <v>8.7675999999999998</v>
      </c>
      <c r="R23" s="5" t="s">
        <v>355</v>
      </c>
      <c r="S23" t="s">
        <v>356</v>
      </c>
      <c r="T23" s="6">
        <v>42128</v>
      </c>
      <c r="U23" s="6">
        <v>51501</v>
      </c>
      <c r="V23" s="9"/>
    </row>
    <row r="24" spans="1:22" x14ac:dyDescent="0.25">
      <c r="A24">
        <v>1</v>
      </c>
      <c r="B24" s="4">
        <f t="shared" si="0"/>
        <v>0.69499999999999995</v>
      </c>
      <c r="C24">
        <v>695</v>
      </c>
      <c r="D24">
        <v>95</v>
      </c>
      <c r="E24">
        <v>1.9742999999999999</v>
      </c>
      <c r="F24" s="5" t="s">
        <v>357</v>
      </c>
      <c r="G24" t="s">
        <v>358</v>
      </c>
      <c r="H24" s="6">
        <v>42075</v>
      </c>
      <c r="I24" s="6">
        <v>51501</v>
      </c>
      <c r="J24" s="12"/>
      <c r="L24">
        <v>12</v>
      </c>
      <c r="M24" s="4">
        <f t="shared" si="1"/>
        <v>0.34100000000000003</v>
      </c>
      <c r="N24">
        <v>341</v>
      </c>
      <c r="O24" s="4">
        <f t="shared" si="2"/>
        <v>4.0920000000000005</v>
      </c>
      <c r="P24">
        <v>95</v>
      </c>
      <c r="Q24">
        <v>12.2448</v>
      </c>
      <c r="R24" s="5" t="s">
        <v>359</v>
      </c>
      <c r="S24" t="s">
        <v>360</v>
      </c>
      <c r="T24" s="6">
        <v>42128</v>
      </c>
      <c r="U24" s="6">
        <v>51501</v>
      </c>
      <c r="V24" s="9"/>
    </row>
    <row r="25" spans="1:22" x14ac:dyDescent="0.25">
      <c r="A25">
        <v>1</v>
      </c>
      <c r="B25" s="4">
        <f t="shared" si="0"/>
        <v>0.7</v>
      </c>
      <c r="C25">
        <v>700</v>
      </c>
      <c r="D25">
        <v>95</v>
      </c>
      <c r="E25">
        <v>2.0204</v>
      </c>
      <c r="F25" s="5" t="s">
        <v>361</v>
      </c>
      <c r="G25" t="s">
        <v>362</v>
      </c>
      <c r="H25" s="6">
        <v>42128</v>
      </c>
      <c r="I25" s="6">
        <v>51501</v>
      </c>
      <c r="J25" s="12"/>
      <c r="L25">
        <v>12</v>
      </c>
      <c r="M25" s="4">
        <f t="shared" si="1"/>
        <v>0.35499999999999998</v>
      </c>
      <c r="N25">
        <v>355</v>
      </c>
      <c r="O25" s="4">
        <f t="shared" si="2"/>
        <v>4.26</v>
      </c>
      <c r="P25">
        <v>95</v>
      </c>
      <c r="Q25">
        <v>9.4309999999999992</v>
      </c>
      <c r="R25" s="5" t="s">
        <v>363</v>
      </c>
      <c r="S25" t="s">
        <v>364</v>
      </c>
      <c r="T25" s="6">
        <v>42128</v>
      </c>
      <c r="U25" s="6">
        <v>51501</v>
      </c>
      <c r="V25" s="9"/>
    </row>
    <row r="26" spans="1:22" x14ac:dyDescent="0.25">
      <c r="A26">
        <v>1</v>
      </c>
      <c r="B26" s="4">
        <f t="shared" si="0"/>
        <v>0.71</v>
      </c>
      <c r="C26">
        <v>710</v>
      </c>
      <c r="D26">
        <v>95</v>
      </c>
      <c r="E26">
        <v>2.0388999999999999</v>
      </c>
      <c r="F26" s="5" t="s">
        <v>365</v>
      </c>
      <c r="G26" t="s">
        <v>366</v>
      </c>
      <c r="H26" s="6">
        <v>42128</v>
      </c>
      <c r="I26" s="6">
        <v>51501</v>
      </c>
      <c r="J26" s="12"/>
      <c r="L26">
        <v>24</v>
      </c>
      <c r="M26" s="4">
        <f t="shared" si="1"/>
        <v>0.33</v>
      </c>
      <c r="N26">
        <v>330</v>
      </c>
      <c r="O26" s="4">
        <f t="shared" si="2"/>
        <v>7.92</v>
      </c>
      <c r="P26">
        <v>95</v>
      </c>
      <c r="Q26">
        <v>17.533100000000001</v>
      </c>
      <c r="R26" s="5" t="s">
        <v>367</v>
      </c>
      <c r="S26" t="s">
        <v>368</v>
      </c>
      <c r="T26" s="6">
        <v>42128</v>
      </c>
      <c r="U26" s="6">
        <v>51501</v>
      </c>
      <c r="V26" s="9"/>
    </row>
    <row r="27" spans="1:22" x14ac:dyDescent="0.25">
      <c r="A27">
        <v>1</v>
      </c>
      <c r="B27" s="4">
        <f t="shared" si="0"/>
        <v>0.72</v>
      </c>
      <c r="C27">
        <v>720</v>
      </c>
      <c r="D27">
        <v>95</v>
      </c>
      <c r="E27">
        <v>2.0773000000000001</v>
      </c>
      <c r="F27" s="5" t="s">
        <v>369</v>
      </c>
      <c r="G27" t="s">
        <v>370</v>
      </c>
      <c r="H27" s="6">
        <v>42128</v>
      </c>
      <c r="I27" s="6">
        <v>51501</v>
      </c>
      <c r="J27" s="12"/>
      <c r="L27">
        <v>24</v>
      </c>
      <c r="M27" s="4">
        <f t="shared" si="1"/>
        <v>0.35499999999999998</v>
      </c>
      <c r="N27">
        <v>355</v>
      </c>
      <c r="O27" s="4">
        <f t="shared" si="2"/>
        <v>8.52</v>
      </c>
      <c r="P27">
        <v>95</v>
      </c>
      <c r="Q27">
        <v>18.861699999999999</v>
      </c>
      <c r="R27" s="5" t="s">
        <v>371</v>
      </c>
      <c r="S27" t="s">
        <v>372</v>
      </c>
      <c r="T27" s="6">
        <v>42128</v>
      </c>
      <c r="U27" s="6">
        <v>51501</v>
      </c>
      <c r="V27" s="9"/>
    </row>
    <row r="28" spans="1:22" x14ac:dyDescent="0.25">
      <c r="A28">
        <v>1</v>
      </c>
      <c r="B28" s="4">
        <f t="shared" si="0"/>
        <v>0.75</v>
      </c>
      <c r="C28">
        <v>750</v>
      </c>
      <c r="D28">
        <v>95</v>
      </c>
      <c r="E28">
        <v>2.1646999999999998</v>
      </c>
      <c r="F28" s="5" t="s">
        <v>373</v>
      </c>
      <c r="G28" t="s">
        <v>374</v>
      </c>
      <c r="H28" s="6">
        <v>42128</v>
      </c>
      <c r="I28" s="6">
        <v>51501</v>
      </c>
      <c r="J28" s="12"/>
      <c r="L28">
        <v>24</v>
      </c>
      <c r="M28" s="4">
        <f t="shared" si="1"/>
        <v>0.4</v>
      </c>
      <c r="N28">
        <v>400</v>
      </c>
      <c r="O28" s="4">
        <f t="shared" si="2"/>
        <v>9.6000000000000014</v>
      </c>
      <c r="P28">
        <v>95</v>
      </c>
      <c r="Q28">
        <v>21.252700000000001</v>
      </c>
      <c r="R28" s="5" t="s">
        <v>375</v>
      </c>
      <c r="S28" t="s">
        <v>376</v>
      </c>
      <c r="T28" s="6">
        <v>42128</v>
      </c>
      <c r="U28" s="6">
        <v>51501</v>
      </c>
      <c r="V28" s="9"/>
    </row>
    <row r="29" spans="1:22" x14ac:dyDescent="0.25">
      <c r="A29">
        <v>1</v>
      </c>
      <c r="B29" s="4">
        <f t="shared" si="0"/>
        <v>0.91</v>
      </c>
      <c r="C29">
        <v>910</v>
      </c>
      <c r="D29">
        <v>95</v>
      </c>
      <c r="E29">
        <v>2.6267999999999998</v>
      </c>
      <c r="F29" s="5" t="s">
        <v>377</v>
      </c>
      <c r="G29" t="s">
        <v>378</v>
      </c>
      <c r="H29" s="6">
        <v>42128</v>
      </c>
      <c r="I29" s="6">
        <v>51501</v>
      </c>
      <c r="J29" s="12"/>
    </row>
    <row r="30" spans="1:22" x14ac:dyDescent="0.25">
      <c r="A30">
        <v>1</v>
      </c>
      <c r="B30" s="4">
        <f t="shared" si="0"/>
        <v>0.94599999999999995</v>
      </c>
      <c r="C30">
        <v>946</v>
      </c>
      <c r="D30">
        <v>95</v>
      </c>
      <c r="E30">
        <v>2.6747999999999998</v>
      </c>
      <c r="F30" s="5" t="s">
        <v>379</v>
      </c>
      <c r="G30" t="s">
        <v>380</v>
      </c>
      <c r="H30" s="6">
        <v>42128</v>
      </c>
      <c r="I30" s="6">
        <v>51501</v>
      </c>
      <c r="J30" s="12"/>
    </row>
    <row r="31" spans="1:22" x14ac:dyDescent="0.25">
      <c r="A31">
        <v>1</v>
      </c>
      <c r="B31" s="4">
        <f t="shared" si="0"/>
        <v>1</v>
      </c>
      <c r="C31">
        <v>1000</v>
      </c>
      <c r="D31">
        <v>95</v>
      </c>
      <c r="E31">
        <v>2.8862000000000001</v>
      </c>
      <c r="F31" s="5" t="s">
        <v>381</v>
      </c>
      <c r="G31" t="s">
        <v>382</v>
      </c>
      <c r="H31" s="6">
        <v>42128</v>
      </c>
      <c r="I31" s="6">
        <v>51501</v>
      </c>
      <c r="J31" s="12"/>
    </row>
    <row r="32" spans="1:22" x14ac:dyDescent="0.25">
      <c r="A32">
        <v>1</v>
      </c>
      <c r="B32" s="4">
        <f t="shared" si="0"/>
        <v>1.1399999999999999</v>
      </c>
      <c r="C32">
        <v>1140</v>
      </c>
      <c r="D32">
        <v>95</v>
      </c>
      <c r="E32">
        <v>3.2902999999999998</v>
      </c>
      <c r="F32" s="5" t="s">
        <v>383</v>
      </c>
      <c r="G32" t="s">
        <v>384</v>
      </c>
      <c r="H32" s="6">
        <v>42128</v>
      </c>
      <c r="I32" s="6">
        <v>51501</v>
      </c>
      <c r="J32" s="12"/>
    </row>
    <row r="33" spans="1:10" x14ac:dyDescent="0.25">
      <c r="A33">
        <v>1</v>
      </c>
      <c r="B33" s="4">
        <f t="shared" si="0"/>
        <v>1.5</v>
      </c>
      <c r="C33">
        <v>1500</v>
      </c>
      <c r="D33">
        <v>95</v>
      </c>
      <c r="E33">
        <v>3.8925000000000001</v>
      </c>
      <c r="F33" s="5" t="s">
        <v>385</v>
      </c>
      <c r="G33" t="s">
        <v>386</v>
      </c>
      <c r="H33" s="6">
        <v>42128</v>
      </c>
      <c r="I33" s="6">
        <v>51501</v>
      </c>
      <c r="J33" s="12"/>
    </row>
    <row r="34" spans="1:10" x14ac:dyDescent="0.25">
      <c r="A34">
        <v>1</v>
      </c>
      <c r="B34" s="4">
        <f t="shared" si="0"/>
        <v>1.75</v>
      </c>
      <c r="C34">
        <v>1750</v>
      </c>
      <c r="D34">
        <v>95</v>
      </c>
      <c r="E34">
        <v>3.8792</v>
      </c>
      <c r="F34" s="5" t="s">
        <v>387</v>
      </c>
      <c r="G34" t="s">
        <v>388</v>
      </c>
      <c r="H34" s="6">
        <v>42128</v>
      </c>
      <c r="I34" s="6">
        <v>51501</v>
      </c>
      <c r="J34" s="12"/>
    </row>
    <row r="35" spans="1:10" x14ac:dyDescent="0.25">
      <c r="A35">
        <v>1</v>
      </c>
      <c r="B35" s="4">
        <f t="shared" si="0"/>
        <v>1.89</v>
      </c>
      <c r="C35">
        <v>1890</v>
      </c>
      <c r="D35">
        <v>95</v>
      </c>
      <c r="E35">
        <v>3.9802</v>
      </c>
      <c r="F35" s="5" t="s">
        <v>389</v>
      </c>
      <c r="G35" t="s">
        <v>390</v>
      </c>
      <c r="H35" s="6">
        <v>42389</v>
      </c>
      <c r="I35" s="6">
        <v>51501</v>
      </c>
      <c r="J35" s="12"/>
    </row>
    <row r="36" spans="1:10" x14ac:dyDescent="0.25">
      <c r="A36">
        <v>1</v>
      </c>
      <c r="B36" s="4">
        <f t="shared" si="0"/>
        <v>2</v>
      </c>
      <c r="C36">
        <v>2000</v>
      </c>
      <c r="D36">
        <v>95</v>
      </c>
      <c r="E36">
        <v>3.9904000000000002</v>
      </c>
      <c r="F36" s="5" t="s">
        <v>391</v>
      </c>
      <c r="G36" t="s">
        <v>392</v>
      </c>
      <c r="H36" s="6">
        <v>42128</v>
      </c>
      <c r="I36" s="6">
        <v>51501</v>
      </c>
      <c r="J36" s="12"/>
    </row>
    <row r="37" spans="1:10" x14ac:dyDescent="0.25">
      <c r="A37">
        <v>1</v>
      </c>
      <c r="B37" s="4">
        <f t="shared" si="0"/>
        <v>3</v>
      </c>
      <c r="C37">
        <v>3000</v>
      </c>
      <c r="D37">
        <v>95</v>
      </c>
      <c r="E37">
        <v>5.9856999999999996</v>
      </c>
      <c r="F37" s="5" t="s">
        <v>393</v>
      </c>
      <c r="G37" t="s">
        <v>394</v>
      </c>
      <c r="H37" s="6">
        <v>42128</v>
      </c>
      <c r="I37" s="6">
        <v>51501</v>
      </c>
      <c r="J37" s="12"/>
    </row>
    <row r="38" spans="1:10" x14ac:dyDescent="0.25">
      <c r="A38">
        <v>1</v>
      </c>
      <c r="B38" s="4">
        <f t="shared" si="0"/>
        <v>4</v>
      </c>
      <c r="C38">
        <v>4000</v>
      </c>
      <c r="D38">
        <v>95</v>
      </c>
      <c r="E38">
        <v>7.9808000000000003</v>
      </c>
      <c r="F38" s="5" t="s">
        <v>395</v>
      </c>
      <c r="G38" t="s">
        <v>396</v>
      </c>
      <c r="H38" s="6">
        <v>42128</v>
      </c>
      <c r="I38" s="6">
        <v>51501</v>
      </c>
      <c r="J38" s="12"/>
    </row>
    <row r="39" spans="1:10" x14ac:dyDescent="0.25">
      <c r="A39">
        <v>1</v>
      </c>
      <c r="B39" s="4">
        <f t="shared" si="0"/>
        <v>19.5</v>
      </c>
      <c r="C39">
        <v>19500</v>
      </c>
      <c r="D39">
        <v>95</v>
      </c>
      <c r="E39">
        <v>38.906300000000002</v>
      </c>
      <c r="F39" s="5" t="s">
        <v>397</v>
      </c>
      <c r="G39" t="s">
        <v>398</v>
      </c>
      <c r="H39" s="6">
        <v>42128</v>
      </c>
      <c r="I39" s="6">
        <v>51501</v>
      </c>
      <c r="J39" s="12"/>
    </row>
    <row r="40" spans="1:10" x14ac:dyDescent="0.25">
      <c r="A40">
        <v>1</v>
      </c>
      <c r="B40" s="4">
        <f t="shared" si="0"/>
        <v>20</v>
      </c>
      <c r="C40">
        <v>20000</v>
      </c>
      <c r="D40">
        <v>95</v>
      </c>
      <c r="E40">
        <v>39.904299999999999</v>
      </c>
      <c r="F40" s="5" t="s">
        <v>399</v>
      </c>
      <c r="G40" t="s">
        <v>400</v>
      </c>
      <c r="H40" s="6">
        <v>42544</v>
      </c>
      <c r="I40" s="6">
        <v>51501</v>
      </c>
      <c r="J40" s="12"/>
    </row>
    <row r="41" spans="1:10" x14ac:dyDescent="0.25">
      <c r="A41">
        <v>1</v>
      </c>
      <c r="B41" s="4">
        <f t="shared" si="0"/>
        <v>25</v>
      </c>
      <c r="C41">
        <v>25000</v>
      </c>
      <c r="D41">
        <v>95</v>
      </c>
      <c r="E41">
        <v>49.878700000000002</v>
      </c>
      <c r="F41" s="5" t="s">
        <v>401</v>
      </c>
      <c r="G41" t="s">
        <v>402</v>
      </c>
      <c r="H41" s="6">
        <v>42128</v>
      </c>
      <c r="I41" s="6">
        <v>51501</v>
      </c>
      <c r="J41" s="12"/>
    </row>
    <row r="42" spans="1:10" x14ac:dyDescent="0.25">
      <c r="A42">
        <v>1</v>
      </c>
      <c r="B42" s="4">
        <f t="shared" si="0"/>
        <v>30</v>
      </c>
      <c r="C42">
        <v>30000</v>
      </c>
      <c r="D42">
        <v>95</v>
      </c>
      <c r="E42">
        <v>59.856400000000001</v>
      </c>
      <c r="F42" s="5" t="s">
        <v>403</v>
      </c>
      <c r="G42" t="s">
        <v>404</v>
      </c>
      <c r="H42" s="6">
        <v>42128</v>
      </c>
      <c r="I42" s="6">
        <v>51501</v>
      </c>
      <c r="J42" s="12"/>
    </row>
    <row r="43" spans="1:10" x14ac:dyDescent="0.25">
      <c r="A43">
        <v>1</v>
      </c>
      <c r="B43" s="4">
        <f t="shared" si="0"/>
        <v>50</v>
      </c>
      <c r="C43">
        <v>50000</v>
      </c>
      <c r="D43">
        <v>95</v>
      </c>
      <c r="E43">
        <v>99.771199999999993</v>
      </c>
      <c r="F43" s="5" t="s">
        <v>405</v>
      </c>
      <c r="G43" t="s">
        <v>406</v>
      </c>
      <c r="H43" s="6">
        <v>42128</v>
      </c>
      <c r="I43" s="6">
        <v>51501</v>
      </c>
      <c r="J43" s="12"/>
    </row>
    <row r="44" spans="1:10" x14ac:dyDescent="0.25">
      <c r="A44">
        <v>1</v>
      </c>
      <c r="B44" s="4">
        <f t="shared" si="0"/>
        <v>58.5</v>
      </c>
      <c r="C44">
        <v>58500</v>
      </c>
      <c r="D44">
        <v>95</v>
      </c>
      <c r="E44">
        <v>112.8892</v>
      </c>
      <c r="F44" s="5" t="s">
        <v>407</v>
      </c>
      <c r="G44" t="s">
        <v>408</v>
      </c>
      <c r="H44" s="6">
        <v>42128</v>
      </c>
      <c r="I44" s="6">
        <v>51501</v>
      </c>
      <c r="J44" s="12"/>
    </row>
    <row r="45" spans="1:10" x14ac:dyDescent="0.25">
      <c r="A45">
        <v>1</v>
      </c>
      <c r="B45" s="4">
        <f t="shared" si="0"/>
        <v>58.6</v>
      </c>
      <c r="C45">
        <v>58600</v>
      </c>
      <c r="D45">
        <v>95</v>
      </c>
      <c r="E45">
        <v>113.0818</v>
      </c>
      <c r="F45" s="5" t="s">
        <v>409</v>
      </c>
      <c r="G45" t="s">
        <v>410</v>
      </c>
      <c r="H45" s="6">
        <v>42128</v>
      </c>
      <c r="I45" s="6">
        <v>51501</v>
      </c>
      <c r="J45" s="12"/>
    </row>
  </sheetData>
  <conditionalFormatting sqref="O2:O28">
    <cfRule type="duplicateValues" dxfId="5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M71"/>
  <sheetViews>
    <sheetView topLeftCell="AK1" workbookViewId="0">
      <selection activeCell="L7" sqref="L7:N7"/>
    </sheetView>
  </sheetViews>
  <sheetFormatPr defaultRowHeight="15" x14ac:dyDescent="0.25"/>
  <cols>
    <col min="5" max="5" width="17.28515625" bestFit="1" customWidth="1"/>
    <col min="7" max="7" width="26.7109375" bestFit="1" customWidth="1"/>
    <col min="8" max="8" width="9.7109375" bestFit="1" customWidth="1"/>
    <col min="9" max="9" width="10.7109375" bestFit="1" customWidth="1"/>
    <col min="10" max="10" width="6.42578125" bestFit="1" customWidth="1"/>
    <col min="11" max="11" width="2.140625" style="11" customWidth="1"/>
    <col min="17" max="17" width="17.28515625" bestFit="1" customWidth="1"/>
    <col min="19" max="19" width="26.7109375" bestFit="1" customWidth="1"/>
    <col min="20" max="20" width="9.7109375" bestFit="1" customWidth="1"/>
    <col min="21" max="21" width="10.7109375" bestFit="1" customWidth="1"/>
    <col min="22" max="22" width="6.42578125" bestFit="1" customWidth="1"/>
    <col min="23" max="23" width="2.140625" style="11" customWidth="1"/>
    <col min="25" max="25" width="10.7109375" bestFit="1" customWidth="1"/>
    <col min="32" max="32" width="26.7109375" bestFit="1" customWidth="1"/>
    <col min="33" max="33" width="13.5703125" bestFit="1" customWidth="1"/>
    <col min="34" max="34" width="11" bestFit="1" customWidth="1"/>
    <col min="35" max="35" width="1.85546875" customWidth="1"/>
    <col min="38" max="38" width="9.140625" style="4"/>
    <col min="40" max="40" width="9.140625" style="4"/>
    <col min="44" max="44" width="26.7109375" bestFit="1" customWidth="1"/>
    <col min="45" max="45" width="13.5703125" bestFit="1" customWidth="1"/>
    <col min="46" max="46" width="11" bestFit="1" customWidth="1"/>
    <col min="47" max="47" width="6.42578125" bestFit="1" customWidth="1"/>
    <col min="48" max="48" width="1.85546875" customWidth="1"/>
    <col min="58" max="58" width="13.5703125" bestFit="1" customWidth="1"/>
    <col min="59" max="59" width="11" bestFit="1" customWidth="1"/>
    <col min="61" max="61" width="2" customWidth="1"/>
  </cols>
  <sheetData>
    <row r="1" spans="1:65" x14ac:dyDescent="0.25">
      <c r="A1" s="1" t="s">
        <v>411</v>
      </c>
      <c r="K1" s="9"/>
      <c r="M1" s="1" t="s">
        <v>412</v>
      </c>
      <c r="W1" s="9"/>
      <c r="Y1" s="1" t="s">
        <v>413</v>
      </c>
      <c r="AK1" s="1" t="s">
        <v>414</v>
      </c>
      <c r="AX1" s="1" t="s">
        <v>415</v>
      </c>
      <c r="BK1" t="s">
        <v>894</v>
      </c>
    </row>
    <row r="2" spans="1:6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7"/>
      <c r="K2" s="8"/>
      <c r="M2" s="1" t="s">
        <v>1</v>
      </c>
      <c r="N2" s="1" t="s">
        <v>2</v>
      </c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  <c r="V2" s="7"/>
      <c r="W2" s="8"/>
      <c r="Y2" s="1" t="s">
        <v>1</v>
      </c>
      <c r="Z2" s="1" t="s">
        <v>2</v>
      </c>
      <c r="AA2" s="1" t="s">
        <v>3</v>
      </c>
      <c r="AB2" s="1" t="s">
        <v>4</v>
      </c>
      <c r="AC2" s="1" t="s">
        <v>5</v>
      </c>
      <c r="AD2" s="1" t="s">
        <v>6</v>
      </c>
      <c r="AE2" s="1" t="s">
        <v>7</v>
      </c>
      <c r="AF2" s="1" t="s">
        <v>8</v>
      </c>
      <c r="AG2" s="1" t="s">
        <v>9</v>
      </c>
      <c r="AH2" s="7"/>
      <c r="AI2" s="9"/>
      <c r="AK2" s="1" t="s">
        <v>1</v>
      </c>
      <c r="AL2" s="13" t="s">
        <v>2</v>
      </c>
      <c r="AM2" s="1" t="s">
        <v>3</v>
      </c>
      <c r="AN2" s="13" t="s">
        <v>87</v>
      </c>
      <c r="AO2" s="1" t="s">
        <v>4</v>
      </c>
      <c r="AP2" s="1" t="s">
        <v>5</v>
      </c>
      <c r="AQ2" s="1" t="s">
        <v>6</v>
      </c>
      <c r="AR2" s="1" t="s">
        <v>7</v>
      </c>
      <c r="AS2" s="1" t="s">
        <v>8</v>
      </c>
      <c r="AT2" s="1" t="s">
        <v>9</v>
      </c>
      <c r="AU2" s="11"/>
      <c r="AV2" s="9"/>
      <c r="AX2" s="1" t="s">
        <v>1</v>
      </c>
      <c r="AY2" s="13" t="s">
        <v>2</v>
      </c>
      <c r="AZ2" s="1" t="s">
        <v>3</v>
      </c>
      <c r="BA2" s="13" t="s">
        <v>87</v>
      </c>
      <c r="BB2" s="1" t="s">
        <v>4</v>
      </c>
      <c r="BC2" s="1" t="s">
        <v>5</v>
      </c>
      <c r="BD2" s="1" t="s">
        <v>6</v>
      </c>
      <c r="BE2" s="1" t="s">
        <v>7</v>
      </c>
      <c r="BF2" s="1" t="s">
        <v>8</v>
      </c>
      <c r="BG2" s="1" t="s">
        <v>9</v>
      </c>
      <c r="BH2" s="11"/>
      <c r="BI2" s="9"/>
      <c r="BK2" t="s">
        <v>889</v>
      </c>
      <c r="BL2" t="s">
        <v>890</v>
      </c>
      <c r="BM2" t="s">
        <v>891</v>
      </c>
    </row>
    <row r="3" spans="1:65" x14ac:dyDescent="0.25">
      <c r="A3">
        <v>1</v>
      </c>
      <c r="B3" s="4">
        <f t="shared" ref="B3:B21" si="0">C3/1000</f>
        <v>1</v>
      </c>
      <c r="C3">
        <v>1000</v>
      </c>
      <c r="D3">
        <v>75</v>
      </c>
      <c r="E3">
        <v>2.0832999999999999</v>
      </c>
      <c r="F3" s="5" t="s">
        <v>416</v>
      </c>
      <c r="G3" t="s">
        <v>417</v>
      </c>
      <c r="H3" s="6">
        <v>42128</v>
      </c>
      <c r="I3" s="6">
        <v>51501</v>
      </c>
      <c r="J3" t="s">
        <v>418</v>
      </c>
      <c r="K3" s="9"/>
      <c r="M3">
        <v>1</v>
      </c>
      <c r="N3" s="4">
        <f>O3/1000</f>
        <v>1</v>
      </c>
      <c r="O3">
        <v>1000</v>
      </c>
      <c r="P3">
        <v>75</v>
      </c>
      <c r="Q3">
        <v>1.8707</v>
      </c>
      <c r="R3" s="5" t="s">
        <v>419</v>
      </c>
      <c r="S3" t="s">
        <v>420</v>
      </c>
      <c r="T3" s="6">
        <v>42128</v>
      </c>
      <c r="U3" s="6">
        <v>51501</v>
      </c>
      <c r="V3" t="s">
        <v>421</v>
      </c>
      <c r="W3" s="9"/>
      <c r="Y3">
        <v>1</v>
      </c>
      <c r="Z3" s="4">
        <f t="shared" ref="Z3:Z13" si="1">AA3/1000</f>
        <v>19</v>
      </c>
      <c r="AA3">
        <v>19000</v>
      </c>
      <c r="AB3">
        <v>75</v>
      </c>
      <c r="AC3">
        <v>26.254200000000001</v>
      </c>
      <c r="AD3" s="5" t="s">
        <v>422</v>
      </c>
      <c r="AE3" t="s">
        <v>423</v>
      </c>
      <c r="AF3" s="6">
        <v>42128</v>
      </c>
      <c r="AG3" s="6">
        <v>51501</v>
      </c>
      <c r="AH3" t="s">
        <v>424</v>
      </c>
      <c r="AI3" s="9"/>
      <c r="AK3">
        <v>2</v>
      </c>
      <c r="AL3" s="4">
        <f t="shared" ref="AL3:AL33" si="2">AM3/1000</f>
        <v>0.34100000000000003</v>
      </c>
      <c r="AM3">
        <v>341</v>
      </c>
      <c r="AN3" s="4">
        <f t="shared" ref="AN3:AN33" si="3">AK3*AL3</f>
        <v>0.68200000000000005</v>
      </c>
      <c r="AO3">
        <v>75</v>
      </c>
      <c r="AP3">
        <v>1.4208000000000001</v>
      </c>
      <c r="AQ3" s="5" t="s">
        <v>425</v>
      </c>
      <c r="AR3" t="s">
        <v>426</v>
      </c>
      <c r="AS3" s="6">
        <v>42128</v>
      </c>
      <c r="AT3" s="6">
        <v>51501</v>
      </c>
      <c r="AU3" t="s">
        <v>421</v>
      </c>
      <c r="AV3" s="9"/>
      <c r="AX3">
        <v>6</v>
      </c>
      <c r="AY3" s="4">
        <v>0.13500000000000001</v>
      </c>
      <c r="AZ3">
        <v>135</v>
      </c>
      <c r="BA3" s="4">
        <f t="shared" ref="BA3:BA30" si="4">AX3*AY3</f>
        <v>0.81</v>
      </c>
      <c r="BB3">
        <v>75</v>
      </c>
      <c r="BC3">
        <v>1.6875</v>
      </c>
      <c r="BD3" s="5" t="s">
        <v>427</v>
      </c>
      <c r="BE3" t="s">
        <v>428</v>
      </c>
      <c r="BF3" s="6">
        <v>42128</v>
      </c>
      <c r="BG3" s="6">
        <v>51501</v>
      </c>
      <c r="BH3" t="s">
        <v>418</v>
      </c>
      <c r="BI3" s="9"/>
      <c r="BK3">
        <v>1</v>
      </c>
      <c r="BL3">
        <v>50.67</v>
      </c>
      <c r="BM3">
        <v>0.91559999999999997</v>
      </c>
    </row>
    <row r="4" spans="1:65" x14ac:dyDescent="0.25">
      <c r="A4">
        <v>1</v>
      </c>
      <c r="B4" s="4">
        <f t="shared" si="0"/>
        <v>10</v>
      </c>
      <c r="C4">
        <v>10000</v>
      </c>
      <c r="D4">
        <v>75</v>
      </c>
      <c r="E4">
        <v>18.068999999999999</v>
      </c>
      <c r="F4" s="5" t="s">
        <v>429</v>
      </c>
      <c r="G4" t="s">
        <v>430</v>
      </c>
      <c r="H4" s="6">
        <v>42128</v>
      </c>
      <c r="I4" s="6">
        <v>51501</v>
      </c>
      <c r="J4" t="s">
        <v>418</v>
      </c>
      <c r="K4" s="9"/>
      <c r="M4">
        <v>1</v>
      </c>
      <c r="N4" s="4">
        <f t="shared" ref="N4:N41" si="5">O4/1000</f>
        <v>1.1830000000000001</v>
      </c>
      <c r="O4">
        <v>1183</v>
      </c>
      <c r="P4">
        <v>75</v>
      </c>
      <c r="Q4">
        <v>2.2130000000000001</v>
      </c>
      <c r="R4" s="5" t="s">
        <v>431</v>
      </c>
      <c r="S4" t="s">
        <v>432</v>
      </c>
      <c r="T4" s="6">
        <v>42128</v>
      </c>
      <c r="U4" s="6">
        <v>51501</v>
      </c>
      <c r="V4" t="s">
        <v>421</v>
      </c>
      <c r="W4" s="9"/>
      <c r="Y4">
        <v>1</v>
      </c>
      <c r="Z4" s="4">
        <f t="shared" si="1"/>
        <v>19.600000000000001</v>
      </c>
      <c r="AA4">
        <v>19600</v>
      </c>
      <c r="AB4">
        <v>75</v>
      </c>
      <c r="AC4">
        <v>27.083300000000001</v>
      </c>
      <c r="AD4" s="5" t="s">
        <v>433</v>
      </c>
      <c r="AE4" t="s">
        <v>434</v>
      </c>
      <c r="AF4" s="6">
        <v>42128</v>
      </c>
      <c r="AG4" s="6">
        <v>51501</v>
      </c>
      <c r="AH4" t="s">
        <v>424</v>
      </c>
      <c r="AI4" s="9"/>
      <c r="AK4">
        <v>3</v>
      </c>
      <c r="AL4" s="4">
        <f t="shared" si="2"/>
        <v>0.33</v>
      </c>
      <c r="AM4">
        <v>330</v>
      </c>
      <c r="AN4" s="4">
        <f t="shared" si="3"/>
        <v>0.99</v>
      </c>
      <c r="AO4">
        <v>75</v>
      </c>
      <c r="AP4">
        <v>2.0625</v>
      </c>
      <c r="AQ4" s="5" t="s">
        <v>435</v>
      </c>
      <c r="AR4" t="s">
        <v>436</v>
      </c>
      <c r="AS4" s="6">
        <v>42128</v>
      </c>
      <c r="AT4" s="6">
        <v>51501</v>
      </c>
      <c r="AU4" t="s">
        <v>421</v>
      </c>
      <c r="AV4" s="9"/>
      <c r="AX4">
        <v>2</v>
      </c>
      <c r="AY4" s="4">
        <v>0.5</v>
      </c>
      <c r="AZ4">
        <v>500</v>
      </c>
      <c r="BA4" s="4">
        <f t="shared" si="4"/>
        <v>1</v>
      </c>
      <c r="BB4">
        <v>75</v>
      </c>
      <c r="BC4">
        <v>2.0832999999999999</v>
      </c>
      <c r="BD4" s="5" t="s">
        <v>437</v>
      </c>
      <c r="BE4" t="s">
        <v>438</v>
      </c>
      <c r="BF4" s="6">
        <v>42087</v>
      </c>
      <c r="BG4" s="6">
        <v>51501</v>
      </c>
      <c r="BH4" t="s">
        <v>418</v>
      </c>
      <c r="BI4" s="9"/>
      <c r="BK4">
        <v>2</v>
      </c>
      <c r="BL4">
        <v>56</v>
      </c>
      <c r="BM4">
        <v>1.0119</v>
      </c>
    </row>
    <row r="5" spans="1:65" x14ac:dyDescent="0.25">
      <c r="A5">
        <v>1</v>
      </c>
      <c r="B5" s="4">
        <f t="shared" si="0"/>
        <v>0.25</v>
      </c>
      <c r="C5">
        <v>250</v>
      </c>
      <c r="D5">
        <v>75</v>
      </c>
      <c r="E5">
        <v>0.52080000000000004</v>
      </c>
      <c r="F5" s="5" t="s">
        <v>439</v>
      </c>
      <c r="G5" t="s">
        <v>440</v>
      </c>
      <c r="H5" s="6">
        <v>42128</v>
      </c>
      <c r="I5" s="6">
        <v>51501</v>
      </c>
      <c r="J5" t="s">
        <v>418</v>
      </c>
      <c r="K5" s="9"/>
      <c r="M5">
        <v>1</v>
      </c>
      <c r="N5" s="4">
        <f t="shared" si="5"/>
        <v>1.5</v>
      </c>
      <c r="O5">
        <v>1500</v>
      </c>
      <c r="P5">
        <v>75</v>
      </c>
      <c r="Q5">
        <v>2.8060999999999998</v>
      </c>
      <c r="R5" s="5" t="s">
        <v>441</v>
      </c>
      <c r="S5" t="s">
        <v>442</v>
      </c>
      <c r="T5" s="6">
        <v>42128</v>
      </c>
      <c r="U5" s="6">
        <v>51501</v>
      </c>
      <c r="V5" t="s">
        <v>421</v>
      </c>
      <c r="W5" s="9"/>
      <c r="Y5">
        <v>1</v>
      </c>
      <c r="Z5" s="4">
        <f t="shared" si="1"/>
        <v>20</v>
      </c>
      <c r="AA5">
        <v>20000</v>
      </c>
      <c r="AB5">
        <v>75</v>
      </c>
      <c r="AC5">
        <v>27.635999999999999</v>
      </c>
      <c r="AD5" s="5" t="s">
        <v>443</v>
      </c>
      <c r="AE5" t="s">
        <v>444</v>
      </c>
      <c r="AF5" s="6">
        <v>42128</v>
      </c>
      <c r="AG5" s="6">
        <v>51501</v>
      </c>
      <c r="AH5" t="s">
        <v>424</v>
      </c>
      <c r="AI5" s="9"/>
      <c r="AK5">
        <v>2</v>
      </c>
      <c r="AL5" s="4">
        <f t="shared" si="2"/>
        <v>0.5</v>
      </c>
      <c r="AM5">
        <v>500</v>
      </c>
      <c r="AN5" s="4">
        <f t="shared" si="3"/>
        <v>1</v>
      </c>
      <c r="AO5">
        <v>75</v>
      </c>
      <c r="AP5">
        <v>2.0832999999999999</v>
      </c>
      <c r="AQ5" s="5" t="s">
        <v>445</v>
      </c>
      <c r="AR5" t="s">
        <v>446</v>
      </c>
      <c r="AS5" s="6">
        <v>42128</v>
      </c>
      <c r="AT5" s="6">
        <v>51501</v>
      </c>
      <c r="AU5" t="s">
        <v>421</v>
      </c>
      <c r="AV5" s="9"/>
      <c r="AX5">
        <v>2</v>
      </c>
      <c r="AY5" s="4">
        <v>0.65</v>
      </c>
      <c r="AZ5">
        <v>650</v>
      </c>
      <c r="BA5" s="4">
        <f t="shared" si="4"/>
        <v>1.3</v>
      </c>
      <c r="BB5">
        <v>75</v>
      </c>
      <c r="BC5">
        <v>2.4319000000000002</v>
      </c>
      <c r="BD5" s="5" t="s">
        <v>447</v>
      </c>
      <c r="BE5" t="s">
        <v>448</v>
      </c>
      <c r="BF5" s="6">
        <v>42128</v>
      </c>
      <c r="BG5" s="6">
        <v>51501</v>
      </c>
      <c r="BH5" t="s">
        <v>418</v>
      </c>
      <c r="BI5" s="9"/>
      <c r="BK5">
        <v>3</v>
      </c>
      <c r="BL5">
        <v>61.33</v>
      </c>
      <c r="BM5">
        <v>1.1082000000000001</v>
      </c>
    </row>
    <row r="6" spans="1:65" x14ac:dyDescent="0.25">
      <c r="A6">
        <v>1</v>
      </c>
      <c r="B6" s="4">
        <f t="shared" si="0"/>
        <v>0.33</v>
      </c>
      <c r="C6">
        <v>330</v>
      </c>
      <c r="D6">
        <v>75</v>
      </c>
      <c r="E6">
        <v>0.6875</v>
      </c>
      <c r="F6" s="5" t="s">
        <v>449</v>
      </c>
      <c r="G6" t="s">
        <v>450</v>
      </c>
      <c r="H6" s="6">
        <v>42128</v>
      </c>
      <c r="I6" s="6">
        <v>51501</v>
      </c>
      <c r="J6" t="s">
        <v>418</v>
      </c>
      <c r="K6" s="9"/>
      <c r="M6">
        <v>1</v>
      </c>
      <c r="N6" s="4">
        <f t="shared" si="5"/>
        <v>0.2</v>
      </c>
      <c r="O6">
        <v>200</v>
      </c>
      <c r="P6">
        <v>75</v>
      </c>
      <c r="Q6">
        <v>0.41670000000000001</v>
      </c>
      <c r="R6" s="5" t="s">
        <v>451</v>
      </c>
      <c r="S6" t="s">
        <v>452</v>
      </c>
      <c r="T6" s="6">
        <v>42128</v>
      </c>
      <c r="U6" s="6">
        <v>51501</v>
      </c>
      <c r="V6" t="s">
        <v>421</v>
      </c>
      <c r="W6" s="9"/>
      <c r="Y6">
        <v>1</v>
      </c>
      <c r="Z6" s="4">
        <f t="shared" si="1"/>
        <v>25</v>
      </c>
      <c r="AA6">
        <v>25000</v>
      </c>
      <c r="AB6">
        <v>75</v>
      </c>
      <c r="AC6">
        <v>34.545000000000002</v>
      </c>
      <c r="AD6" s="5" t="s">
        <v>453</v>
      </c>
      <c r="AE6" t="s">
        <v>454</v>
      </c>
      <c r="AF6" s="6">
        <v>42128</v>
      </c>
      <c r="AG6" s="6">
        <v>51501</v>
      </c>
      <c r="AH6" t="s">
        <v>424</v>
      </c>
      <c r="AI6" s="9"/>
      <c r="AK6">
        <v>4</v>
      </c>
      <c r="AL6" s="4">
        <f t="shared" si="2"/>
        <v>0.25</v>
      </c>
      <c r="AM6">
        <v>250</v>
      </c>
      <c r="AN6" s="4">
        <f t="shared" si="3"/>
        <v>1</v>
      </c>
      <c r="AO6">
        <v>75</v>
      </c>
      <c r="AP6">
        <v>2.0832999999999999</v>
      </c>
      <c r="AQ6" s="5" t="s">
        <v>455</v>
      </c>
      <c r="AR6" t="s">
        <v>456</v>
      </c>
      <c r="AS6" s="6">
        <v>42128</v>
      </c>
      <c r="AT6" s="6">
        <v>51501</v>
      </c>
      <c r="AU6" t="s">
        <v>421</v>
      </c>
      <c r="AV6" s="9"/>
      <c r="AX6">
        <v>3</v>
      </c>
      <c r="AY6" s="4">
        <v>0.44</v>
      </c>
      <c r="AZ6">
        <v>440</v>
      </c>
      <c r="BA6" s="4">
        <f t="shared" si="4"/>
        <v>1.32</v>
      </c>
      <c r="BB6">
        <v>75</v>
      </c>
      <c r="BC6">
        <v>2.4693000000000001</v>
      </c>
      <c r="BD6" s="5" t="s">
        <v>457</v>
      </c>
      <c r="BE6" t="s">
        <v>458</v>
      </c>
      <c r="BF6" s="6">
        <v>42128</v>
      </c>
      <c r="BG6" s="6">
        <v>51501</v>
      </c>
      <c r="BH6" t="s">
        <v>418</v>
      </c>
      <c r="BI6" s="9"/>
      <c r="BK6">
        <v>4</v>
      </c>
      <c r="BL6">
        <v>65.33</v>
      </c>
      <c r="BM6">
        <v>1.1803999999999999</v>
      </c>
    </row>
    <row r="7" spans="1:65" x14ac:dyDescent="0.25">
      <c r="A7">
        <v>1</v>
      </c>
      <c r="B7" s="4">
        <f t="shared" si="0"/>
        <v>0.33500000000000002</v>
      </c>
      <c r="C7">
        <v>335</v>
      </c>
      <c r="D7">
        <v>75</v>
      </c>
      <c r="E7">
        <v>0.69789999999999996</v>
      </c>
      <c r="F7" s="5" t="s">
        <v>459</v>
      </c>
      <c r="G7" t="s">
        <v>460</v>
      </c>
      <c r="H7" s="6">
        <v>42128</v>
      </c>
      <c r="I7" s="6">
        <v>51501</v>
      </c>
      <c r="J7" t="s">
        <v>418</v>
      </c>
      <c r="K7" s="9"/>
      <c r="M7">
        <v>1</v>
      </c>
      <c r="N7" s="4">
        <f t="shared" si="5"/>
        <v>2</v>
      </c>
      <c r="O7">
        <v>2000</v>
      </c>
      <c r="P7">
        <v>75</v>
      </c>
      <c r="Q7">
        <v>3.7414000000000001</v>
      </c>
      <c r="R7" s="5" t="s">
        <v>461</v>
      </c>
      <c r="S7" t="s">
        <v>462</v>
      </c>
      <c r="T7" s="6">
        <v>42128</v>
      </c>
      <c r="U7" s="6">
        <v>51501</v>
      </c>
      <c r="V7" t="s">
        <v>421</v>
      </c>
      <c r="W7" s="9"/>
      <c r="Y7">
        <v>1</v>
      </c>
      <c r="Z7" s="4">
        <f t="shared" si="1"/>
        <v>30</v>
      </c>
      <c r="AA7">
        <v>30000</v>
      </c>
      <c r="AB7">
        <v>75</v>
      </c>
      <c r="AC7">
        <v>41.454000000000001</v>
      </c>
      <c r="AD7" s="5" t="s">
        <v>463</v>
      </c>
      <c r="AE7" t="s">
        <v>464</v>
      </c>
      <c r="AF7" s="6">
        <v>42128</v>
      </c>
      <c r="AG7" s="6">
        <v>51501</v>
      </c>
      <c r="AH7" t="s">
        <v>424</v>
      </c>
      <c r="AI7" s="9"/>
      <c r="AK7">
        <v>2</v>
      </c>
      <c r="AL7" s="4">
        <f t="shared" si="2"/>
        <v>0.65</v>
      </c>
      <c r="AM7">
        <v>650</v>
      </c>
      <c r="AN7" s="4">
        <f t="shared" si="3"/>
        <v>1.3</v>
      </c>
      <c r="AO7">
        <v>75</v>
      </c>
      <c r="AP7">
        <v>2.4319000000000002</v>
      </c>
      <c r="AQ7" s="5" t="s">
        <v>465</v>
      </c>
      <c r="AR7" t="s">
        <v>466</v>
      </c>
      <c r="AS7" s="6">
        <v>42128</v>
      </c>
      <c r="AT7" s="6">
        <v>51501</v>
      </c>
      <c r="AU7" t="s">
        <v>421</v>
      </c>
      <c r="AV7" s="9"/>
      <c r="AX7">
        <v>4</v>
      </c>
      <c r="AY7" s="4">
        <v>0.33</v>
      </c>
      <c r="AZ7">
        <v>330</v>
      </c>
      <c r="BA7" s="4">
        <f t="shared" si="4"/>
        <v>1.32</v>
      </c>
      <c r="BB7">
        <v>75</v>
      </c>
      <c r="BC7">
        <v>2.4693000000000001</v>
      </c>
      <c r="BD7" s="5" t="s">
        <v>467</v>
      </c>
      <c r="BE7" t="s">
        <v>468</v>
      </c>
      <c r="BF7" s="6">
        <v>42128</v>
      </c>
      <c r="BG7" s="6">
        <v>51501</v>
      </c>
      <c r="BH7" t="s">
        <v>418</v>
      </c>
      <c r="BI7" s="9"/>
    </row>
    <row r="8" spans="1:65" x14ac:dyDescent="0.25">
      <c r="A8">
        <v>1</v>
      </c>
      <c r="B8" s="4">
        <f t="shared" si="0"/>
        <v>0.34</v>
      </c>
      <c r="C8">
        <v>340</v>
      </c>
      <c r="D8">
        <v>75</v>
      </c>
      <c r="E8">
        <v>0.70830000000000004</v>
      </c>
      <c r="F8" s="5" t="s">
        <v>469</v>
      </c>
      <c r="G8" t="s">
        <v>470</v>
      </c>
      <c r="H8" s="6">
        <v>42128</v>
      </c>
      <c r="I8" s="6">
        <v>51501</v>
      </c>
      <c r="J8" t="s">
        <v>418</v>
      </c>
      <c r="K8" s="9"/>
      <c r="M8">
        <v>1</v>
      </c>
      <c r="N8" s="4">
        <f t="shared" si="5"/>
        <v>0.20699999999999999</v>
      </c>
      <c r="O8">
        <v>207</v>
      </c>
      <c r="P8">
        <v>75</v>
      </c>
      <c r="Q8">
        <v>0.43120000000000003</v>
      </c>
      <c r="R8" s="5" t="s">
        <v>471</v>
      </c>
      <c r="S8" t="s">
        <v>472</v>
      </c>
      <c r="T8" s="6">
        <v>42128</v>
      </c>
      <c r="U8" s="6">
        <v>51501</v>
      </c>
      <c r="V8" t="s">
        <v>421</v>
      </c>
      <c r="W8" s="9"/>
      <c r="Y8">
        <v>1</v>
      </c>
      <c r="Z8" s="4">
        <f t="shared" si="1"/>
        <v>40.909999999999997</v>
      </c>
      <c r="AA8">
        <v>40910</v>
      </c>
      <c r="AB8">
        <v>75</v>
      </c>
      <c r="AC8">
        <v>56.529400000000003</v>
      </c>
      <c r="AD8" s="5" t="s">
        <v>473</v>
      </c>
      <c r="AE8" t="s">
        <v>474</v>
      </c>
      <c r="AF8" s="6">
        <v>42128</v>
      </c>
      <c r="AG8" s="6">
        <v>51501</v>
      </c>
      <c r="AH8" t="s">
        <v>424</v>
      </c>
      <c r="AI8" s="9"/>
      <c r="AK8">
        <v>4</v>
      </c>
      <c r="AL8" s="4">
        <f t="shared" si="2"/>
        <v>0.33</v>
      </c>
      <c r="AM8">
        <v>330</v>
      </c>
      <c r="AN8" s="4">
        <f t="shared" si="3"/>
        <v>1.32</v>
      </c>
      <c r="AO8">
        <v>75</v>
      </c>
      <c r="AP8">
        <v>2.4693000000000001</v>
      </c>
      <c r="AQ8" s="5" t="s">
        <v>475</v>
      </c>
      <c r="AR8" t="s">
        <v>476</v>
      </c>
      <c r="AS8" s="6">
        <v>42128</v>
      </c>
      <c r="AT8" s="6">
        <v>51501</v>
      </c>
      <c r="AU8" t="s">
        <v>421</v>
      </c>
      <c r="AV8" s="9"/>
      <c r="AX8">
        <v>3</v>
      </c>
      <c r="AY8" s="4">
        <v>0.47299999999999998</v>
      </c>
      <c r="AZ8">
        <v>473</v>
      </c>
      <c r="BA8" s="4">
        <f t="shared" si="4"/>
        <v>1.419</v>
      </c>
      <c r="BB8">
        <v>75</v>
      </c>
      <c r="BC8">
        <v>2.6545000000000001</v>
      </c>
      <c r="BD8" s="5" t="s">
        <v>477</v>
      </c>
      <c r="BE8" t="s">
        <v>478</v>
      </c>
      <c r="BF8" s="6">
        <v>42128</v>
      </c>
      <c r="BG8" s="6">
        <v>51501</v>
      </c>
      <c r="BH8" t="s">
        <v>418</v>
      </c>
      <c r="BI8" s="9"/>
    </row>
    <row r="9" spans="1:65" x14ac:dyDescent="0.25">
      <c r="A9">
        <v>1</v>
      </c>
      <c r="B9" s="4">
        <f t="shared" si="0"/>
        <v>0.34100000000000003</v>
      </c>
      <c r="C9">
        <v>341</v>
      </c>
      <c r="D9">
        <v>75</v>
      </c>
      <c r="E9">
        <v>0.71040000000000003</v>
      </c>
      <c r="F9" s="5" t="s">
        <v>479</v>
      </c>
      <c r="G9" t="s">
        <v>480</v>
      </c>
      <c r="H9" s="6">
        <v>42128</v>
      </c>
      <c r="I9" s="6">
        <v>51501</v>
      </c>
      <c r="J9" t="s">
        <v>418</v>
      </c>
      <c r="K9" s="9"/>
      <c r="M9">
        <v>1</v>
      </c>
      <c r="N9" s="4">
        <f t="shared" si="5"/>
        <v>0.222</v>
      </c>
      <c r="O9">
        <v>222</v>
      </c>
      <c r="P9">
        <v>75</v>
      </c>
      <c r="Q9">
        <v>0.46250000000000002</v>
      </c>
      <c r="R9" s="5" t="s">
        <v>481</v>
      </c>
      <c r="S9" t="s">
        <v>482</v>
      </c>
      <c r="T9" s="6">
        <v>42128</v>
      </c>
      <c r="U9" s="6">
        <v>51501</v>
      </c>
      <c r="V9" t="s">
        <v>421</v>
      </c>
      <c r="W9" s="9"/>
      <c r="Y9">
        <v>1</v>
      </c>
      <c r="Z9" s="4">
        <f t="shared" si="1"/>
        <v>45.46</v>
      </c>
      <c r="AA9">
        <v>45460</v>
      </c>
      <c r="AB9">
        <v>75</v>
      </c>
      <c r="AC9">
        <v>62.816600000000001</v>
      </c>
      <c r="AD9" s="5" t="s">
        <v>483</v>
      </c>
      <c r="AE9" t="s">
        <v>484</v>
      </c>
      <c r="AF9" s="6">
        <v>42128</v>
      </c>
      <c r="AG9" s="6">
        <v>51501</v>
      </c>
      <c r="AH9" t="s">
        <v>424</v>
      </c>
      <c r="AI9" s="9"/>
      <c r="AK9">
        <v>4</v>
      </c>
      <c r="AL9" s="4">
        <f t="shared" si="2"/>
        <v>0.34100000000000003</v>
      </c>
      <c r="AM9">
        <v>341</v>
      </c>
      <c r="AN9" s="4">
        <f t="shared" si="3"/>
        <v>1.3640000000000001</v>
      </c>
      <c r="AO9">
        <v>75</v>
      </c>
      <c r="AP9">
        <v>2.5516000000000001</v>
      </c>
      <c r="AQ9" s="5" t="s">
        <v>485</v>
      </c>
      <c r="AR9" t="s">
        <v>486</v>
      </c>
      <c r="AS9" s="6">
        <v>42123</v>
      </c>
      <c r="AT9" s="6">
        <v>51501</v>
      </c>
      <c r="AU9" t="s">
        <v>421</v>
      </c>
      <c r="AV9" s="9"/>
      <c r="AX9">
        <v>4</v>
      </c>
      <c r="AY9" s="4">
        <v>0.47299999999999998</v>
      </c>
      <c r="AZ9">
        <v>473</v>
      </c>
      <c r="BA9" s="4">
        <f t="shared" si="4"/>
        <v>1.8919999999999999</v>
      </c>
      <c r="BB9">
        <v>75</v>
      </c>
      <c r="BC9">
        <v>3.5394000000000001</v>
      </c>
      <c r="BD9" s="5" t="s">
        <v>487</v>
      </c>
      <c r="BE9" t="s">
        <v>488</v>
      </c>
      <c r="BF9" s="6">
        <v>42128</v>
      </c>
      <c r="BG9" s="6">
        <v>51501</v>
      </c>
      <c r="BH9" t="s">
        <v>418</v>
      </c>
      <c r="BI9" s="9"/>
    </row>
    <row r="10" spans="1:65" x14ac:dyDescent="0.25">
      <c r="A10">
        <v>1</v>
      </c>
      <c r="B10" s="4">
        <f t="shared" si="0"/>
        <v>0.35399999999999998</v>
      </c>
      <c r="C10">
        <v>354</v>
      </c>
      <c r="D10">
        <v>75</v>
      </c>
      <c r="E10">
        <v>0.73750000000000004</v>
      </c>
      <c r="F10" s="5" t="s">
        <v>489</v>
      </c>
      <c r="G10" t="s">
        <v>490</v>
      </c>
      <c r="H10" s="6">
        <v>42128</v>
      </c>
      <c r="I10" s="6">
        <v>51501</v>
      </c>
      <c r="J10" t="s">
        <v>418</v>
      </c>
      <c r="K10" s="9"/>
      <c r="M10">
        <v>1</v>
      </c>
      <c r="N10" s="4">
        <f t="shared" si="5"/>
        <v>0.25</v>
      </c>
      <c r="O10">
        <v>250</v>
      </c>
      <c r="P10">
        <v>75</v>
      </c>
      <c r="Q10">
        <v>0.52080000000000004</v>
      </c>
      <c r="R10" s="5" t="s">
        <v>491</v>
      </c>
      <c r="S10" t="s">
        <v>492</v>
      </c>
      <c r="T10" s="6">
        <v>42128</v>
      </c>
      <c r="U10" s="6">
        <v>51501</v>
      </c>
      <c r="V10" t="s">
        <v>421</v>
      </c>
      <c r="W10" s="9"/>
      <c r="Y10">
        <v>1</v>
      </c>
      <c r="Z10" s="4">
        <f t="shared" si="1"/>
        <v>50</v>
      </c>
      <c r="AA10">
        <v>50000</v>
      </c>
      <c r="AB10">
        <v>75</v>
      </c>
      <c r="AC10">
        <v>69.09</v>
      </c>
      <c r="AD10" s="5" t="s">
        <v>493</v>
      </c>
      <c r="AE10" t="s">
        <v>494</v>
      </c>
      <c r="AF10" s="6">
        <v>42128</v>
      </c>
      <c r="AG10" s="6">
        <v>51501</v>
      </c>
      <c r="AH10" t="s">
        <v>424</v>
      </c>
      <c r="AI10" s="9"/>
      <c r="AK10">
        <v>4</v>
      </c>
      <c r="AL10" s="4">
        <f t="shared" si="2"/>
        <v>0.35499999999999998</v>
      </c>
      <c r="AM10">
        <v>355</v>
      </c>
      <c r="AN10" s="4">
        <f t="shared" si="3"/>
        <v>1.42</v>
      </c>
      <c r="AO10">
        <v>75</v>
      </c>
      <c r="AP10">
        <v>2.6564000000000001</v>
      </c>
      <c r="AQ10" s="5" t="s">
        <v>495</v>
      </c>
      <c r="AR10" t="s">
        <v>496</v>
      </c>
      <c r="AS10" s="6">
        <v>42128</v>
      </c>
      <c r="AT10" s="6">
        <v>51501</v>
      </c>
      <c r="AU10" t="s">
        <v>421</v>
      </c>
      <c r="AV10" s="9"/>
      <c r="AX10">
        <v>6</v>
      </c>
      <c r="AY10" s="4">
        <v>0.33</v>
      </c>
      <c r="AZ10">
        <v>330</v>
      </c>
      <c r="BA10" s="4">
        <f t="shared" si="4"/>
        <v>1.98</v>
      </c>
      <c r="BB10">
        <v>75</v>
      </c>
      <c r="BC10">
        <v>3.7040000000000002</v>
      </c>
      <c r="BD10" s="5" t="s">
        <v>497</v>
      </c>
      <c r="BE10" t="s">
        <v>498</v>
      </c>
      <c r="BF10" s="6">
        <v>42128</v>
      </c>
      <c r="BG10" s="6">
        <v>51501</v>
      </c>
      <c r="BH10" t="s">
        <v>418</v>
      </c>
      <c r="BI10" s="9"/>
    </row>
    <row r="11" spans="1:65" x14ac:dyDescent="0.25">
      <c r="A11">
        <v>1</v>
      </c>
      <c r="B11" s="4">
        <f t="shared" si="0"/>
        <v>0.35499999999999998</v>
      </c>
      <c r="C11">
        <v>355</v>
      </c>
      <c r="D11">
        <v>75</v>
      </c>
      <c r="E11">
        <v>0.73960000000000004</v>
      </c>
      <c r="F11" s="5" t="s">
        <v>499</v>
      </c>
      <c r="G11" t="s">
        <v>500</v>
      </c>
      <c r="H11" s="6">
        <v>42128</v>
      </c>
      <c r="I11" s="6">
        <v>51501</v>
      </c>
      <c r="J11" t="s">
        <v>418</v>
      </c>
      <c r="K11" s="9"/>
      <c r="M11">
        <v>1</v>
      </c>
      <c r="N11" s="4">
        <f t="shared" si="5"/>
        <v>0.27500000000000002</v>
      </c>
      <c r="O11">
        <v>275</v>
      </c>
      <c r="P11">
        <v>75</v>
      </c>
      <c r="Q11">
        <v>0.57289999999999996</v>
      </c>
      <c r="R11" s="5" t="s">
        <v>501</v>
      </c>
      <c r="S11" t="s">
        <v>502</v>
      </c>
      <c r="T11" s="6">
        <v>42128</v>
      </c>
      <c r="U11" s="6">
        <v>51501</v>
      </c>
      <c r="V11" t="s">
        <v>421</v>
      </c>
      <c r="W11" s="9"/>
      <c r="Y11">
        <v>1</v>
      </c>
      <c r="Z11" s="4">
        <f t="shared" si="1"/>
        <v>58.6</v>
      </c>
      <c r="AA11">
        <v>58600</v>
      </c>
      <c r="AB11">
        <v>75</v>
      </c>
      <c r="AC11">
        <v>80.973500000000001</v>
      </c>
      <c r="AD11" s="5" t="s">
        <v>503</v>
      </c>
      <c r="AE11" t="s">
        <v>504</v>
      </c>
      <c r="AF11" s="6">
        <v>42128</v>
      </c>
      <c r="AG11" s="6">
        <v>51501</v>
      </c>
      <c r="AH11" t="s">
        <v>424</v>
      </c>
      <c r="AI11" s="9"/>
      <c r="AK11">
        <v>2</v>
      </c>
      <c r="AL11" s="4">
        <f t="shared" si="2"/>
        <v>0.75</v>
      </c>
      <c r="AM11">
        <v>750</v>
      </c>
      <c r="AN11" s="4">
        <f t="shared" si="3"/>
        <v>1.5</v>
      </c>
      <c r="AO11">
        <v>75</v>
      </c>
      <c r="AP11">
        <v>2.8060999999999998</v>
      </c>
      <c r="AQ11" s="5" t="s">
        <v>505</v>
      </c>
      <c r="AR11" t="s">
        <v>506</v>
      </c>
      <c r="AS11" s="6">
        <v>42128</v>
      </c>
      <c r="AT11" s="6">
        <v>51501</v>
      </c>
      <c r="AU11" t="s">
        <v>421</v>
      </c>
      <c r="AV11" s="9"/>
      <c r="AX11">
        <v>6</v>
      </c>
      <c r="AY11" s="4">
        <v>0.34100000000000003</v>
      </c>
      <c r="AZ11">
        <v>341</v>
      </c>
      <c r="BA11" s="4">
        <f t="shared" si="4"/>
        <v>2.0460000000000003</v>
      </c>
      <c r="BB11">
        <v>75</v>
      </c>
      <c r="BC11">
        <v>3.8275000000000001</v>
      </c>
      <c r="BD11" s="5" t="s">
        <v>507</v>
      </c>
      <c r="BE11" t="s">
        <v>508</v>
      </c>
      <c r="BF11" s="6">
        <v>42128</v>
      </c>
      <c r="BG11" s="6">
        <v>51501</v>
      </c>
      <c r="BH11" t="s">
        <v>418</v>
      </c>
      <c r="BI11" s="9"/>
    </row>
    <row r="12" spans="1:65" x14ac:dyDescent="0.25">
      <c r="A12">
        <v>1</v>
      </c>
      <c r="B12" s="4">
        <f t="shared" si="0"/>
        <v>0.375</v>
      </c>
      <c r="C12">
        <v>375</v>
      </c>
      <c r="D12">
        <v>75</v>
      </c>
      <c r="E12">
        <v>0.78120000000000001</v>
      </c>
      <c r="F12" s="5" t="s">
        <v>509</v>
      </c>
      <c r="G12" t="s">
        <v>510</v>
      </c>
      <c r="H12" s="6">
        <v>42128</v>
      </c>
      <c r="I12" s="6">
        <v>51501</v>
      </c>
      <c r="J12" t="s">
        <v>418</v>
      </c>
      <c r="K12" s="9"/>
      <c r="M12">
        <v>1</v>
      </c>
      <c r="N12" s="4">
        <f t="shared" si="5"/>
        <v>0.3</v>
      </c>
      <c r="O12">
        <v>300</v>
      </c>
      <c r="P12">
        <v>75</v>
      </c>
      <c r="Q12">
        <v>0.625</v>
      </c>
      <c r="R12" s="5" t="s">
        <v>511</v>
      </c>
      <c r="S12" t="s">
        <v>512</v>
      </c>
      <c r="T12" s="6">
        <v>42128</v>
      </c>
      <c r="U12" s="6">
        <v>51501</v>
      </c>
      <c r="V12" t="s">
        <v>421</v>
      </c>
      <c r="W12" s="9"/>
      <c r="Y12">
        <v>1</v>
      </c>
      <c r="Z12" s="4">
        <f t="shared" si="1"/>
        <v>58.667999999999999</v>
      </c>
      <c r="AA12">
        <v>58668</v>
      </c>
      <c r="AB12">
        <v>75</v>
      </c>
      <c r="AC12">
        <v>81.067400000000006</v>
      </c>
      <c r="AD12" s="5" t="s">
        <v>513</v>
      </c>
      <c r="AE12" t="s">
        <v>514</v>
      </c>
      <c r="AF12" s="6">
        <v>42128</v>
      </c>
      <c r="AG12" s="6">
        <v>51501</v>
      </c>
      <c r="AH12" t="s">
        <v>424</v>
      </c>
      <c r="AI12" s="9"/>
      <c r="AK12">
        <v>3</v>
      </c>
      <c r="AL12" s="4">
        <f t="shared" si="2"/>
        <v>0.5</v>
      </c>
      <c r="AM12">
        <v>500</v>
      </c>
      <c r="AN12" s="4">
        <f t="shared" si="3"/>
        <v>1.5</v>
      </c>
      <c r="AO12">
        <v>75</v>
      </c>
      <c r="AP12">
        <v>2.8060999999999998</v>
      </c>
      <c r="AQ12" s="5" t="s">
        <v>515</v>
      </c>
      <c r="AR12" t="s">
        <v>516</v>
      </c>
      <c r="AS12" s="6">
        <v>42655</v>
      </c>
      <c r="AT12" s="6">
        <v>51501</v>
      </c>
      <c r="AU12" t="s">
        <v>421</v>
      </c>
      <c r="AV12" s="9"/>
      <c r="AX12">
        <v>6</v>
      </c>
      <c r="AY12" s="4">
        <v>0.35399999999999998</v>
      </c>
      <c r="AZ12">
        <v>354</v>
      </c>
      <c r="BA12" s="4">
        <f t="shared" si="4"/>
        <v>2.1239999999999997</v>
      </c>
      <c r="BB12">
        <v>75</v>
      </c>
      <c r="BC12">
        <v>3.9733999999999998</v>
      </c>
      <c r="BD12" s="5" t="s">
        <v>517</v>
      </c>
      <c r="BE12" t="s">
        <v>518</v>
      </c>
      <c r="BF12" s="6">
        <v>42128</v>
      </c>
      <c r="BG12" s="6">
        <v>51501</v>
      </c>
      <c r="BH12" t="s">
        <v>418</v>
      </c>
      <c r="BI12" s="9"/>
    </row>
    <row r="13" spans="1:65" x14ac:dyDescent="0.25">
      <c r="A13">
        <v>1</v>
      </c>
      <c r="B13" s="4">
        <f t="shared" si="0"/>
        <v>0.44</v>
      </c>
      <c r="C13">
        <v>440</v>
      </c>
      <c r="D13">
        <v>75</v>
      </c>
      <c r="E13">
        <v>0.91669999999999996</v>
      </c>
      <c r="F13" s="5" t="s">
        <v>519</v>
      </c>
      <c r="G13" t="s">
        <v>520</v>
      </c>
      <c r="H13" s="6">
        <v>42128</v>
      </c>
      <c r="I13" s="6">
        <v>51501</v>
      </c>
      <c r="J13" t="s">
        <v>418</v>
      </c>
      <c r="K13" s="9"/>
      <c r="M13">
        <v>1</v>
      </c>
      <c r="N13" s="4">
        <f t="shared" si="5"/>
        <v>0.32</v>
      </c>
      <c r="O13">
        <v>320</v>
      </c>
      <c r="P13">
        <v>75</v>
      </c>
      <c r="Q13">
        <v>0.66669999999999996</v>
      </c>
      <c r="R13" s="5" t="s">
        <v>521</v>
      </c>
      <c r="S13" t="s">
        <v>522</v>
      </c>
      <c r="T13" s="6">
        <v>42128</v>
      </c>
      <c r="U13" s="6">
        <v>51501</v>
      </c>
      <c r="V13" t="s">
        <v>421</v>
      </c>
      <c r="W13" s="9"/>
      <c r="Y13">
        <v>1</v>
      </c>
      <c r="Z13" s="4">
        <f t="shared" si="1"/>
        <v>2</v>
      </c>
      <c r="AA13">
        <v>2000</v>
      </c>
      <c r="AB13">
        <v>75</v>
      </c>
      <c r="AC13">
        <v>3.7414000000000001</v>
      </c>
      <c r="AD13" s="5" t="s">
        <v>523</v>
      </c>
      <c r="AE13" t="s">
        <v>524</v>
      </c>
      <c r="AF13" s="6">
        <v>42128</v>
      </c>
      <c r="AG13" s="6">
        <v>51501</v>
      </c>
      <c r="AH13" t="s">
        <v>525</v>
      </c>
      <c r="AI13" s="9"/>
      <c r="AK13">
        <v>6</v>
      </c>
      <c r="AL13" s="4">
        <f t="shared" si="2"/>
        <v>0.25</v>
      </c>
      <c r="AM13">
        <v>250</v>
      </c>
      <c r="AN13" s="4">
        <f t="shared" si="3"/>
        <v>1.5</v>
      </c>
      <c r="AO13">
        <v>75</v>
      </c>
      <c r="AP13">
        <v>2.8060999999999998</v>
      </c>
      <c r="AQ13" s="5" t="s">
        <v>526</v>
      </c>
      <c r="AR13" t="s">
        <v>527</v>
      </c>
      <c r="AS13" s="6">
        <v>42128</v>
      </c>
      <c r="AT13" s="6">
        <v>51501</v>
      </c>
      <c r="AU13" t="s">
        <v>421</v>
      </c>
      <c r="AV13" s="9"/>
      <c r="AX13">
        <v>6</v>
      </c>
      <c r="AY13" s="4">
        <v>0.35499999999999998</v>
      </c>
      <c r="AZ13">
        <v>355</v>
      </c>
      <c r="BA13" s="4">
        <f t="shared" si="4"/>
        <v>2.13</v>
      </c>
      <c r="BB13">
        <v>75</v>
      </c>
      <c r="BC13">
        <v>3.9845999999999999</v>
      </c>
      <c r="BD13" s="5" t="s">
        <v>528</v>
      </c>
      <c r="BE13" t="s">
        <v>529</v>
      </c>
      <c r="BF13" s="6">
        <v>42128</v>
      </c>
      <c r="BG13" s="6">
        <v>51501</v>
      </c>
      <c r="BH13" t="s">
        <v>418</v>
      </c>
      <c r="BI13" s="9"/>
    </row>
    <row r="14" spans="1:65" x14ac:dyDescent="0.25">
      <c r="A14">
        <v>1</v>
      </c>
      <c r="B14" s="4">
        <f t="shared" si="0"/>
        <v>0.45</v>
      </c>
      <c r="C14">
        <v>450</v>
      </c>
      <c r="D14">
        <v>75</v>
      </c>
      <c r="E14">
        <v>0.9375</v>
      </c>
      <c r="F14" s="5" t="s">
        <v>530</v>
      </c>
      <c r="G14" t="s">
        <v>531</v>
      </c>
      <c r="H14" s="6">
        <v>42128</v>
      </c>
      <c r="I14" s="6">
        <v>51501</v>
      </c>
      <c r="J14" t="s">
        <v>418</v>
      </c>
      <c r="K14" s="9"/>
      <c r="M14">
        <v>1</v>
      </c>
      <c r="N14" s="4">
        <f t="shared" si="5"/>
        <v>0.32500000000000001</v>
      </c>
      <c r="O14">
        <v>325</v>
      </c>
      <c r="P14">
        <v>75</v>
      </c>
      <c r="Q14">
        <v>0.67710000000000004</v>
      </c>
      <c r="R14" s="5" t="s">
        <v>532</v>
      </c>
      <c r="S14" t="s">
        <v>533</v>
      </c>
      <c r="T14" s="6">
        <v>42128</v>
      </c>
      <c r="U14" s="6">
        <v>51501</v>
      </c>
      <c r="V14" t="s">
        <v>421</v>
      </c>
      <c r="W14" s="9"/>
      <c r="Z14" s="4"/>
      <c r="AB14" s="4"/>
      <c r="AE14" s="5"/>
      <c r="AG14" s="6"/>
      <c r="AH14" s="6"/>
      <c r="AI14" s="11"/>
      <c r="AK14">
        <v>6</v>
      </c>
      <c r="AL14" s="4">
        <f t="shared" si="2"/>
        <v>0.27500000000000002</v>
      </c>
      <c r="AM14">
        <v>275</v>
      </c>
      <c r="AN14" s="4">
        <f t="shared" si="3"/>
        <v>1.6500000000000001</v>
      </c>
      <c r="AO14">
        <v>75</v>
      </c>
      <c r="AP14">
        <v>3.0867</v>
      </c>
      <c r="AQ14" s="5" t="s">
        <v>534</v>
      </c>
      <c r="AR14" t="s">
        <v>535</v>
      </c>
      <c r="AS14" s="6">
        <v>42128</v>
      </c>
      <c r="AT14" s="6">
        <v>51501</v>
      </c>
      <c r="AU14" t="s">
        <v>421</v>
      </c>
      <c r="AV14" s="9"/>
      <c r="AX14">
        <v>6</v>
      </c>
      <c r="AY14" s="4">
        <v>0.47299999999999998</v>
      </c>
      <c r="AZ14">
        <v>473</v>
      </c>
      <c r="BA14" s="4">
        <f t="shared" si="4"/>
        <v>2.8380000000000001</v>
      </c>
      <c r="BB14">
        <v>75</v>
      </c>
      <c r="BC14">
        <v>5.3090000000000002</v>
      </c>
      <c r="BD14" s="5" t="s">
        <v>536</v>
      </c>
      <c r="BE14" t="s">
        <v>537</v>
      </c>
      <c r="BF14" s="6">
        <v>42128</v>
      </c>
      <c r="BG14" s="6">
        <v>51501</v>
      </c>
      <c r="BH14" t="s">
        <v>418</v>
      </c>
      <c r="BI14" s="9"/>
    </row>
    <row r="15" spans="1:65" x14ac:dyDescent="0.25">
      <c r="A15">
        <v>1</v>
      </c>
      <c r="B15" s="4">
        <f t="shared" si="0"/>
        <v>0.47299999999999998</v>
      </c>
      <c r="C15">
        <v>473</v>
      </c>
      <c r="D15">
        <v>75</v>
      </c>
      <c r="E15">
        <v>0.98540000000000005</v>
      </c>
      <c r="F15" s="5" t="s">
        <v>538</v>
      </c>
      <c r="G15" t="s">
        <v>539</v>
      </c>
      <c r="H15" s="6">
        <v>42128</v>
      </c>
      <c r="I15" s="6">
        <v>51501</v>
      </c>
      <c r="J15" t="s">
        <v>418</v>
      </c>
      <c r="K15" s="9"/>
      <c r="M15">
        <v>1</v>
      </c>
      <c r="N15" s="4">
        <f t="shared" si="5"/>
        <v>0.33</v>
      </c>
      <c r="O15">
        <v>330</v>
      </c>
      <c r="P15">
        <v>75</v>
      </c>
      <c r="Q15">
        <v>0.6875</v>
      </c>
      <c r="R15" s="5" t="s">
        <v>540</v>
      </c>
      <c r="S15" t="s">
        <v>541</v>
      </c>
      <c r="T15" s="6">
        <v>42128</v>
      </c>
      <c r="U15" s="6">
        <v>51501</v>
      </c>
      <c r="V15" t="s">
        <v>421</v>
      </c>
      <c r="W15" s="9"/>
      <c r="Z15" s="4"/>
      <c r="AB15" s="4"/>
      <c r="AE15" s="5"/>
      <c r="AG15" s="6"/>
      <c r="AH15" s="6"/>
      <c r="AI15" s="11"/>
      <c r="AK15">
        <v>6</v>
      </c>
      <c r="AL15" s="4">
        <f t="shared" si="2"/>
        <v>0.33</v>
      </c>
      <c r="AM15">
        <v>330</v>
      </c>
      <c r="AN15" s="4">
        <f t="shared" si="3"/>
        <v>1.98</v>
      </c>
      <c r="AO15">
        <v>75</v>
      </c>
      <c r="AP15">
        <v>3.7040000000000002</v>
      </c>
      <c r="AQ15" s="5" t="s">
        <v>542</v>
      </c>
      <c r="AR15" t="s">
        <v>543</v>
      </c>
      <c r="AS15" s="6">
        <v>42128</v>
      </c>
      <c r="AT15" s="6">
        <v>51501</v>
      </c>
      <c r="AU15" t="s">
        <v>421</v>
      </c>
      <c r="AV15" s="9"/>
      <c r="AX15">
        <v>10</v>
      </c>
      <c r="AY15" s="4">
        <v>0.33</v>
      </c>
      <c r="AZ15">
        <v>330</v>
      </c>
      <c r="BA15" s="4">
        <f t="shared" si="4"/>
        <v>3.3000000000000003</v>
      </c>
      <c r="BB15">
        <v>75</v>
      </c>
      <c r="BC15">
        <v>5.9627999999999997</v>
      </c>
      <c r="BD15" s="5" t="s">
        <v>544</v>
      </c>
      <c r="BE15" t="s">
        <v>545</v>
      </c>
      <c r="BF15" s="6">
        <v>42128</v>
      </c>
      <c r="BG15" s="6">
        <v>51501</v>
      </c>
      <c r="BH15" t="s">
        <v>418</v>
      </c>
      <c r="BI15" s="9"/>
    </row>
    <row r="16" spans="1:65" x14ac:dyDescent="0.25">
      <c r="A16">
        <v>1</v>
      </c>
      <c r="B16" s="4">
        <f t="shared" si="0"/>
        <v>0.5</v>
      </c>
      <c r="C16">
        <v>500</v>
      </c>
      <c r="D16">
        <v>75</v>
      </c>
      <c r="E16">
        <v>1.0417000000000001</v>
      </c>
      <c r="F16" s="5" t="s">
        <v>546</v>
      </c>
      <c r="G16" t="s">
        <v>547</v>
      </c>
      <c r="H16" s="6">
        <v>42128</v>
      </c>
      <c r="I16" s="6">
        <v>51501</v>
      </c>
      <c r="J16" t="s">
        <v>418</v>
      </c>
      <c r="K16" s="9"/>
      <c r="M16">
        <v>1</v>
      </c>
      <c r="N16" s="4">
        <f t="shared" si="5"/>
        <v>0.33400000000000002</v>
      </c>
      <c r="O16">
        <v>334</v>
      </c>
      <c r="P16">
        <v>75</v>
      </c>
      <c r="Q16">
        <v>0.69579999999999997</v>
      </c>
      <c r="R16" s="5" t="s">
        <v>548</v>
      </c>
      <c r="S16" t="s">
        <v>549</v>
      </c>
      <c r="T16" s="6">
        <v>42128</v>
      </c>
      <c r="U16" s="6">
        <v>51501</v>
      </c>
      <c r="V16" t="s">
        <v>421</v>
      </c>
      <c r="W16" s="9"/>
      <c r="Z16" s="4"/>
      <c r="AB16" s="4"/>
      <c r="AE16" s="5"/>
      <c r="AG16" s="6"/>
      <c r="AH16" s="6"/>
      <c r="AI16" s="11"/>
      <c r="AK16">
        <v>4</v>
      </c>
      <c r="AL16" s="4">
        <f t="shared" si="2"/>
        <v>0.5</v>
      </c>
      <c r="AM16">
        <v>500</v>
      </c>
      <c r="AN16" s="4">
        <f t="shared" si="3"/>
        <v>2</v>
      </c>
      <c r="AO16">
        <v>75</v>
      </c>
      <c r="AP16">
        <v>3.7414000000000001</v>
      </c>
      <c r="AQ16" s="5" t="s">
        <v>550</v>
      </c>
      <c r="AR16" t="s">
        <v>551</v>
      </c>
      <c r="AS16" s="6">
        <v>42128</v>
      </c>
      <c r="AT16" s="6">
        <v>51501</v>
      </c>
      <c r="AU16" t="s">
        <v>421</v>
      </c>
      <c r="AV16" s="9"/>
      <c r="AX16">
        <v>8</v>
      </c>
      <c r="AY16" s="4">
        <v>0.44</v>
      </c>
      <c r="AZ16">
        <v>440</v>
      </c>
      <c r="BA16" s="4">
        <f t="shared" si="4"/>
        <v>3.52</v>
      </c>
      <c r="BB16">
        <v>75</v>
      </c>
      <c r="BC16">
        <v>6.3602999999999996</v>
      </c>
      <c r="BD16" s="5" t="s">
        <v>552</v>
      </c>
      <c r="BE16" t="s">
        <v>553</v>
      </c>
      <c r="BF16" s="6">
        <v>42128</v>
      </c>
      <c r="BG16" s="6">
        <v>51501</v>
      </c>
      <c r="BH16" t="s">
        <v>418</v>
      </c>
      <c r="BI16" s="9"/>
    </row>
    <row r="17" spans="1:61" x14ac:dyDescent="0.25">
      <c r="A17">
        <v>1</v>
      </c>
      <c r="B17" s="4">
        <f t="shared" si="0"/>
        <v>5</v>
      </c>
      <c r="C17">
        <v>5000</v>
      </c>
      <c r="D17">
        <v>75</v>
      </c>
      <c r="E17">
        <v>9.0344999999999995</v>
      </c>
      <c r="F17" s="5" t="s">
        <v>554</v>
      </c>
      <c r="G17" t="s">
        <v>555</v>
      </c>
      <c r="H17" s="6">
        <v>42128</v>
      </c>
      <c r="I17" s="6">
        <v>51501</v>
      </c>
      <c r="J17" t="s">
        <v>418</v>
      </c>
      <c r="K17" s="9"/>
      <c r="M17">
        <v>1</v>
      </c>
      <c r="N17" s="4">
        <f t="shared" si="5"/>
        <v>0.34100000000000003</v>
      </c>
      <c r="O17">
        <v>341</v>
      </c>
      <c r="P17">
        <v>75</v>
      </c>
      <c r="Q17">
        <v>0.71040000000000003</v>
      </c>
      <c r="R17" s="5" t="s">
        <v>556</v>
      </c>
      <c r="S17" t="s">
        <v>557</v>
      </c>
      <c r="T17" s="6">
        <v>42128</v>
      </c>
      <c r="U17" s="6">
        <v>51501</v>
      </c>
      <c r="V17" t="s">
        <v>421</v>
      </c>
      <c r="W17" s="9"/>
      <c r="Z17" s="4"/>
      <c r="AB17" s="4"/>
      <c r="AE17" s="5"/>
      <c r="AG17" s="6"/>
      <c r="AH17" s="6"/>
      <c r="AI17" s="11"/>
      <c r="AK17">
        <v>6</v>
      </c>
      <c r="AL17" s="4">
        <f t="shared" si="2"/>
        <v>0.34100000000000003</v>
      </c>
      <c r="AM17">
        <v>341</v>
      </c>
      <c r="AN17" s="4">
        <f t="shared" si="3"/>
        <v>2.0460000000000003</v>
      </c>
      <c r="AO17">
        <v>75</v>
      </c>
      <c r="AP17">
        <v>3.8275000000000001</v>
      </c>
      <c r="AQ17" s="5" t="s">
        <v>558</v>
      </c>
      <c r="AR17" t="s">
        <v>559</v>
      </c>
      <c r="AS17" s="6">
        <v>42128</v>
      </c>
      <c r="AT17" s="6">
        <v>51501</v>
      </c>
      <c r="AU17" t="s">
        <v>421</v>
      </c>
      <c r="AV17" s="9"/>
      <c r="AX17">
        <v>8</v>
      </c>
      <c r="AY17" s="4">
        <v>0.47299999999999998</v>
      </c>
      <c r="AZ17">
        <v>473</v>
      </c>
      <c r="BA17" s="4">
        <f t="shared" si="4"/>
        <v>3.7839999999999998</v>
      </c>
      <c r="BB17">
        <v>75</v>
      </c>
      <c r="BC17">
        <v>6.8372999999999999</v>
      </c>
      <c r="BD17" s="5" t="s">
        <v>560</v>
      </c>
      <c r="BE17" t="s">
        <v>561</v>
      </c>
      <c r="BF17" s="6">
        <v>42123</v>
      </c>
      <c r="BG17" s="6">
        <v>51501</v>
      </c>
      <c r="BH17" t="s">
        <v>418</v>
      </c>
      <c r="BI17" s="9"/>
    </row>
    <row r="18" spans="1:61" x14ac:dyDescent="0.25">
      <c r="A18">
        <v>1</v>
      </c>
      <c r="B18" s="4">
        <f t="shared" si="0"/>
        <v>0.56799999999999995</v>
      </c>
      <c r="C18">
        <v>568</v>
      </c>
      <c r="D18">
        <v>75</v>
      </c>
      <c r="E18">
        <v>1.1833</v>
      </c>
      <c r="F18" s="5" t="s">
        <v>562</v>
      </c>
      <c r="G18" t="s">
        <v>563</v>
      </c>
      <c r="H18" s="6">
        <v>42212</v>
      </c>
      <c r="I18" s="6">
        <v>51501</v>
      </c>
      <c r="J18" t="s">
        <v>418</v>
      </c>
      <c r="K18" s="9"/>
      <c r="M18">
        <v>1</v>
      </c>
      <c r="N18" s="4">
        <f t="shared" si="5"/>
        <v>0.34499999999999997</v>
      </c>
      <c r="O18">
        <v>345</v>
      </c>
      <c r="P18">
        <v>75</v>
      </c>
      <c r="Q18">
        <v>0.71870000000000001</v>
      </c>
      <c r="R18" s="5" t="s">
        <v>564</v>
      </c>
      <c r="S18" t="s">
        <v>565</v>
      </c>
      <c r="T18" s="6">
        <v>42128</v>
      </c>
      <c r="U18" s="6">
        <v>51501</v>
      </c>
      <c r="V18" t="s">
        <v>421</v>
      </c>
      <c r="W18" s="9"/>
      <c r="Z18" s="4"/>
      <c r="AB18" s="4"/>
      <c r="AE18" s="5"/>
      <c r="AG18" s="6"/>
      <c r="AH18" s="6"/>
      <c r="AI18" s="11"/>
      <c r="AK18">
        <v>6</v>
      </c>
      <c r="AL18" s="4">
        <f t="shared" si="2"/>
        <v>0.35499999999999998</v>
      </c>
      <c r="AM18">
        <v>355</v>
      </c>
      <c r="AN18" s="4">
        <f t="shared" si="3"/>
        <v>2.13</v>
      </c>
      <c r="AO18">
        <v>75</v>
      </c>
      <c r="AP18">
        <v>3.9845999999999999</v>
      </c>
      <c r="AQ18" s="5" t="s">
        <v>566</v>
      </c>
      <c r="AR18" t="s">
        <v>567</v>
      </c>
      <c r="AS18" s="6">
        <v>42128</v>
      </c>
      <c r="AT18" s="6">
        <v>51501</v>
      </c>
      <c r="AU18" t="s">
        <v>421</v>
      </c>
      <c r="AV18" s="9"/>
      <c r="AX18">
        <v>12</v>
      </c>
      <c r="AY18" s="4">
        <v>0.33</v>
      </c>
      <c r="AZ18">
        <v>330</v>
      </c>
      <c r="BA18" s="4">
        <f t="shared" si="4"/>
        <v>3.96</v>
      </c>
      <c r="BB18">
        <v>75</v>
      </c>
      <c r="BC18">
        <v>7.1553000000000004</v>
      </c>
      <c r="BD18" s="5" t="s">
        <v>568</v>
      </c>
      <c r="BE18" t="s">
        <v>569</v>
      </c>
      <c r="BF18" s="6">
        <v>42128</v>
      </c>
      <c r="BG18" s="6">
        <v>51501</v>
      </c>
      <c r="BH18" t="s">
        <v>418</v>
      </c>
      <c r="BI18" s="9"/>
    </row>
    <row r="19" spans="1:61" x14ac:dyDescent="0.25">
      <c r="A19">
        <v>1</v>
      </c>
      <c r="B19" s="4">
        <f t="shared" si="0"/>
        <v>0.65</v>
      </c>
      <c r="C19">
        <v>650</v>
      </c>
      <c r="D19">
        <v>75</v>
      </c>
      <c r="E19">
        <v>1.3541000000000001</v>
      </c>
      <c r="F19" s="5" t="s">
        <v>570</v>
      </c>
      <c r="G19" t="s">
        <v>571</v>
      </c>
      <c r="H19" s="6">
        <v>42128</v>
      </c>
      <c r="I19" s="6">
        <v>51501</v>
      </c>
      <c r="J19" t="s">
        <v>418</v>
      </c>
      <c r="K19" s="9"/>
      <c r="M19">
        <v>1</v>
      </c>
      <c r="N19" s="4">
        <f t="shared" si="5"/>
        <v>0.35</v>
      </c>
      <c r="O19">
        <v>350</v>
      </c>
      <c r="P19">
        <v>75</v>
      </c>
      <c r="Q19">
        <v>0.72919999999999996</v>
      </c>
      <c r="R19" s="5" t="s">
        <v>572</v>
      </c>
      <c r="S19" t="s">
        <v>573</v>
      </c>
      <c r="T19" s="6">
        <v>42128</v>
      </c>
      <c r="U19" s="6">
        <v>51501</v>
      </c>
      <c r="V19" t="s">
        <v>421</v>
      </c>
      <c r="W19" s="9"/>
      <c r="Z19" s="4"/>
      <c r="AB19" s="4"/>
      <c r="AE19" s="5"/>
      <c r="AG19" s="6"/>
      <c r="AH19" s="6"/>
      <c r="AI19" s="11"/>
      <c r="AK19">
        <v>3</v>
      </c>
      <c r="AL19" s="4">
        <f t="shared" si="2"/>
        <v>0.75</v>
      </c>
      <c r="AM19">
        <v>750</v>
      </c>
      <c r="AN19" s="4">
        <f t="shared" si="3"/>
        <v>2.25</v>
      </c>
      <c r="AO19">
        <v>75</v>
      </c>
      <c r="AP19">
        <v>4.2091000000000003</v>
      </c>
      <c r="AQ19" s="5" t="s">
        <v>574</v>
      </c>
      <c r="AR19" t="s">
        <v>575</v>
      </c>
      <c r="AS19" s="6">
        <v>42128</v>
      </c>
      <c r="AT19" s="6">
        <v>51501</v>
      </c>
      <c r="AU19" t="s">
        <v>421</v>
      </c>
      <c r="AV19" s="9"/>
      <c r="AX19">
        <v>2</v>
      </c>
      <c r="AY19" s="4">
        <v>2</v>
      </c>
      <c r="AZ19">
        <v>2000</v>
      </c>
      <c r="BA19" s="4">
        <f t="shared" si="4"/>
        <v>4</v>
      </c>
      <c r="BB19">
        <v>75</v>
      </c>
      <c r="BC19">
        <v>3.7414000000000001</v>
      </c>
      <c r="BD19" s="5" t="s">
        <v>576</v>
      </c>
      <c r="BE19" t="s">
        <v>577</v>
      </c>
      <c r="BF19" s="6">
        <v>42128</v>
      </c>
      <c r="BG19" s="6">
        <v>51501</v>
      </c>
      <c r="BH19" t="s">
        <v>418</v>
      </c>
      <c r="BI19" s="9"/>
    </row>
    <row r="20" spans="1:61" x14ac:dyDescent="0.25">
      <c r="A20">
        <v>1</v>
      </c>
      <c r="B20" s="4">
        <f t="shared" si="0"/>
        <v>0.71</v>
      </c>
      <c r="C20">
        <v>710</v>
      </c>
      <c r="D20">
        <v>75</v>
      </c>
      <c r="E20">
        <v>1.4791000000000001</v>
      </c>
      <c r="F20" s="5" t="s">
        <v>578</v>
      </c>
      <c r="G20" t="s">
        <v>579</v>
      </c>
      <c r="H20" s="6">
        <v>42128</v>
      </c>
      <c r="I20" s="6">
        <v>51501</v>
      </c>
      <c r="J20" t="s">
        <v>418</v>
      </c>
      <c r="K20" s="9"/>
      <c r="M20">
        <v>1</v>
      </c>
      <c r="N20" s="4">
        <f t="shared" si="5"/>
        <v>0.35399999999999998</v>
      </c>
      <c r="O20">
        <v>354</v>
      </c>
      <c r="P20">
        <v>75</v>
      </c>
      <c r="Q20">
        <v>0.73750000000000004</v>
      </c>
      <c r="R20" s="5" t="s">
        <v>580</v>
      </c>
      <c r="S20" t="s">
        <v>581</v>
      </c>
      <c r="T20" s="6">
        <v>42128</v>
      </c>
      <c r="U20" s="6">
        <v>51501</v>
      </c>
      <c r="V20" t="s">
        <v>421</v>
      </c>
      <c r="W20" s="9"/>
      <c r="Z20" s="4"/>
      <c r="AB20" s="4"/>
      <c r="AE20" s="5"/>
      <c r="AG20" s="6"/>
      <c r="AH20" s="6"/>
      <c r="AI20" s="11"/>
      <c r="AK20">
        <v>6</v>
      </c>
      <c r="AL20" s="4">
        <f t="shared" si="2"/>
        <v>0.375</v>
      </c>
      <c r="AM20">
        <v>375</v>
      </c>
      <c r="AN20" s="4">
        <f t="shared" si="3"/>
        <v>2.25</v>
      </c>
      <c r="AO20">
        <v>75</v>
      </c>
      <c r="AP20">
        <v>4.2091000000000003</v>
      </c>
      <c r="AQ20" s="5" t="s">
        <v>582</v>
      </c>
      <c r="AR20" t="s">
        <v>583</v>
      </c>
      <c r="AS20" s="6">
        <v>42128</v>
      </c>
      <c r="AT20" s="6">
        <v>51501</v>
      </c>
      <c r="AU20" t="s">
        <v>421</v>
      </c>
      <c r="AV20" s="9"/>
      <c r="AX20">
        <v>8</v>
      </c>
      <c r="AY20" s="4">
        <v>0.5</v>
      </c>
      <c r="AZ20">
        <v>500</v>
      </c>
      <c r="BA20" s="4">
        <f t="shared" si="4"/>
        <v>4</v>
      </c>
      <c r="BB20">
        <v>75</v>
      </c>
      <c r="BC20">
        <v>7.2275999999999998</v>
      </c>
      <c r="BD20" s="5" t="s">
        <v>584</v>
      </c>
      <c r="BE20" t="s">
        <v>585</v>
      </c>
      <c r="BF20" s="6">
        <v>42264</v>
      </c>
      <c r="BG20" s="6">
        <v>51501</v>
      </c>
      <c r="BH20" t="s">
        <v>418</v>
      </c>
      <c r="BI20" s="9"/>
    </row>
    <row r="21" spans="1:61" x14ac:dyDescent="0.25">
      <c r="A21">
        <v>1</v>
      </c>
      <c r="B21" s="4">
        <f t="shared" si="0"/>
        <v>0.74</v>
      </c>
      <c r="C21">
        <v>740</v>
      </c>
      <c r="D21">
        <v>75</v>
      </c>
      <c r="E21">
        <v>1.5416000000000001</v>
      </c>
      <c r="F21" s="5" t="s">
        <v>586</v>
      </c>
      <c r="G21" t="s">
        <v>587</v>
      </c>
      <c r="H21" s="6">
        <v>42128</v>
      </c>
      <c r="I21" s="6">
        <v>51501</v>
      </c>
      <c r="J21" t="s">
        <v>418</v>
      </c>
      <c r="K21" s="9"/>
      <c r="M21">
        <v>1</v>
      </c>
      <c r="N21" s="4">
        <f t="shared" si="5"/>
        <v>0.35499999999999998</v>
      </c>
      <c r="O21">
        <v>355</v>
      </c>
      <c r="P21">
        <v>75</v>
      </c>
      <c r="Q21">
        <v>0.73960000000000004</v>
      </c>
      <c r="R21" s="5" t="s">
        <v>588</v>
      </c>
      <c r="S21" t="s">
        <v>589</v>
      </c>
      <c r="T21" s="6">
        <v>42128</v>
      </c>
      <c r="U21" s="6">
        <v>51501</v>
      </c>
      <c r="V21" t="s">
        <v>421</v>
      </c>
      <c r="W21" s="9"/>
      <c r="Z21" s="4"/>
      <c r="AB21" s="4"/>
      <c r="AE21" s="5"/>
      <c r="AG21" s="6"/>
      <c r="AH21" s="6"/>
      <c r="AI21" s="11"/>
      <c r="AK21">
        <v>4</v>
      </c>
      <c r="AL21" s="4">
        <f t="shared" si="2"/>
        <v>0.6</v>
      </c>
      <c r="AM21">
        <v>600</v>
      </c>
      <c r="AN21" s="4">
        <f t="shared" si="3"/>
        <v>2.4</v>
      </c>
      <c r="AO21">
        <v>75</v>
      </c>
      <c r="AP21">
        <v>4.4897</v>
      </c>
      <c r="AQ21" s="5" t="s">
        <v>590</v>
      </c>
      <c r="AR21" t="s">
        <v>591</v>
      </c>
      <c r="AS21" s="6">
        <v>42587</v>
      </c>
      <c r="AT21" s="6">
        <v>51501</v>
      </c>
      <c r="AU21" t="s">
        <v>421</v>
      </c>
      <c r="AV21" s="9"/>
      <c r="AX21">
        <v>12</v>
      </c>
      <c r="AY21" s="4">
        <v>0.34</v>
      </c>
      <c r="AZ21">
        <v>340</v>
      </c>
      <c r="BA21" s="4">
        <f t="shared" si="4"/>
        <v>4.08</v>
      </c>
      <c r="BB21">
        <v>75</v>
      </c>
      <c r="BC21">
        <v>7.3722000000000003</v>
      </c>
      <c r="BD21" s="5" t="s">
        <v>592</v>
      </c>
      <c r="BE21" t="s">
        <v>593</v>
      </c>
      <c r="BF21" s="6">
        <v>42128</v>
      </c>
      <c r="BG21" s="6">
        <v>51501</v>
      </c>
      <c r="BH21" t="s">
        <v>418</v>
      </c>
      <c r="BI21" s="9"/>
    </row>
    <row r="22" spans="1:61" x14ac:dyDescent="0.25">
      <c r="B22" s="4"/>
      <c r="F22" s="5"/>
      <c r="H22" s="6"/>
      <c r="I22" s="6"/>
      <c r="M22">
        <v>1</v>
      </c>
      <c r="N22" s="4">
        <f t="shared" si="5"/>
        <v>0.375</v>
      </c>
      <c r="O22">
        <v>375</v>
      </c>
      <c r="P22">
        <v>75</v>
      </c>
      <c r="Q22">
        <v>0.78120000000000001</v>
      </c>
      <c r="R22" s="5" t="s">
        <v>594</v>
      </c>
      <c r="S22" t="s">
        <v>595</v>
      </c>
      <c r="T22" s="6">
        <v>42128</v>
      </c>
      <c r="U22" s="6">
        <v>51501</v>
      </c>
      <c r="V22" t="s">
        <v>421</v>
      </c>
      <c r="W22" s="9"/>
      <c r="Z22" s="4"/>
      <c r="AB22" s="4"/>
      <c r="AE22" s="5"/>
      <c r="AG22" s="6"/>
      <c r="AH22" s="6"/>
      <c r="AI22" s="11"/>
      <c r="AK22">
        <v>5</v>
      </c>
      <c r="AL22" s="4">
        <f t="shared" si="2"/>
        <v>0.5</v>
      </c>
      <c r="AM22">
        <v>500</v>
      </c>
      <c r="AN22" s="4">
        <f t="shared" si="3"/>
        <v>2.5</v>
      </c>
      <c r="AO22">
        <v>75</v>
      </c>
      <c r="AP22">
        <v>4.6768000000000001</v>
      </c>
      <c r="AQ22" s="5" t="s">
        <v>596</v>
      </c>
      <c r="AR22" t="s">
        <v>597</v>
      </c>
      <c r="AS22" s="6">
        <v>42128</v>
      </c>
      <c r="AT22" s="6">
        <v>51501</v>
      </c>
      <c r="AU22" t="s">
        <v>421</v>
      </c>
      <c r="AV22" s="9"/>
      <c r="AX22">
        <v>12</v>
      </c>
      <c r="AY22" s="4">
        <v>0.34100000000000003</v>
      </c>
      <c r="AZ22">
        <v>341</v>
      </c>
      <c r="BA22" s="4">
        <f t="shared" si="4"/>
        <v>4.0920000000000005</v>
      </c>
      <c r="BB22">
        <v>75</v>
      </c>
      <c r="BC22">
        <v>7.3937999999999997</v>
      </c>
      <c r="BD22" s="5" t="s">
        <v>598</v>
      </c>
      <c r="BE22" t="s">
        <v>599</v>
      </c>
      <c r="BF22" s="6">
        <v>42128</v>
      </c>
      <c r="BG22" s="6">
        <v>51501</v>
      </c>
      <c r="BH22" t="s">
        <v>418</v>
      </c>
      <c r="BI22" s="9"/>
    </row>
    <row r="23" spans="1:61" x14ac:dyDescent="0.25">
      <c r="B23" s="4"/>
      <c r="F23" s="5"/>
      <c r="H23" s="6"/>
      <c r="I23" s="6"/>
      <c r="M23">
        <v>1</v>
      </c>
      <c r="N23" s="4">
        <f t="shared" si="5"/>
        <v>0.44</v>
      </c>
      <c r="O23">
        <v>440</v>
      </c>
      <c r="P23">
        <v>75</v>
      </c>
      <c r="Q23">
        <v>0.91669999999999996</v>
      </c>
      <c r="R23" s="5" t="s">
        <v>600</v>
      </c>
      <c r="S23" t="s">
        <v>601</v>
      </c>
      <c r="T23" s="6">
        <v>42128</v>
      </c>
      <c r="U23" s="6">
        <v>51501</v>
      </c>
      <c r="V23" t="s">
        <v>421</v>
      </c>
      <c r="W23" s="9"/>
      <c r="Z23" s="4"/>
      <c r="AB23" s="4"/>
      <c r="AE23" s="5"/>
      <c r="AG23" s="6"/>
      <c r="AH23" s="6"/>
      <c r="AI23" s="11"/>
      <c r="AK23">
        <v>8</v>
      </c>
      <c r="AL23" s="4">
        <f t="shared" si="2"/>
        <v>0.33</v>
      </c>
      <c r="AM23">
        <v>330</v>
      </c>
      <c r="AN23" s="4">
        <f t="shared" si="3"/>
        <v>2.64</v>
      </c>
      <c r="AO23">
        <v>75</v>
      </c>
      <c r="AP23">
        <v>4.9386000000000001</v>
      </c>
      <c r="AQ23" s="5" t="s">
        <v>602</v>
      </c>
      <c r="AR23" t="s">
        <v>603</v>
      </c>
      <c r="AS23" s="6">
        <v>42128</v>
      </c>
      <c r="AT23" s="6">
        <v>51501</v>
      </c>
      <c r="AU23" t="s">
        <v>421</v>
      </c>
      <c r="AV23" s="9"/>
      <c r="AX23">
        <v>9</v>
      </c>
      <c r="AY23" s="4">
        <v>0.47299999999999998</v>
      </c>
      <c r="AZ23">
        <v>473</v>
      </c>
      <c r="BA23" s="4">
        <f t="shared" si="4"/>
        <v>4.2569999999999997</v>
      </c>
      <c r="BB23">
        <v>75</v>
      </c>
      <c r="BC23">
        <v>7.6920000000000002</v>
      </c>
      <c r="BD23" s="5" t="s">
        <v>604</v>
      </c>
      <c r="BE23" t="s">
        <v>605</v>
      </c>
      <c r="BF23" s="6">
        <v>42128</v>
      </c>
      <c r="BG23" s="6">
        <v>51501</v>
      </c>
      <c r="BH23" t="s">
        <v>418</v>
      </c>
      <c r="BI23" s="9"/>
    </row>
    <row r="24" spans="1:61" x14ac:dyDescent="0.25">
      <c r="B24" s="4"/>
      <c r="F24" s="5"/>
      <c r="H24" s="6"/>
      <c r="I24" s="6"/>
      <c r="M24">
        <v>1</v>
      </c>
      <c r="N24" s="4">
        <f t="shared" si="5"/>
        <v>0.45</v>
      </c>
      <c r="O24">
        <v>450</v>
      </c>
      <c r="P24">
        <v>75</v>
      </c>
      <c r="Q24">
        <v>0.9375</v>
      </c>
      <c r="R24" s="5" t="s">
        <v>606</v>
      </c>
      <c r="S24" t="s">
        <v>607</v>
      </c>
      <c r="T24" s="6">
        <v>42128</v>
      </c>
      <c r="U24" s="6">
        <v>51501</v>
      </c>
      <c r="V24" t="s">
        <v>421</v>
      </c>
      <c r="W24" s="9"/>
      <c r="Z24" s="4"/>
      <c r="AB24" s="4"/>
      <c r="AE24" s="5"/>
      <c r="AG24" s="6"/>
      <c r="AH24" s="6"/>
      <c r="AI24" s="11"/>
      <c r="AK24">
        <v>6</v>
      </c>
      <c r="AL24" s="4">
        <f t="shared" si="2"/>
        <v>0.5</v>
      </c>
      <c r="AM24">
        <v>500</v>
      </c>
      <c r="AN24" s="4">
        <f t="shared" si="3"/>
        <v>3</v>
      </c>
      <c r="AO24">
        <v>75</v>
      </c>
      <c r="AP24">
        <v>5.6120999999999999</v>
      </c>
      <c r="AQ24" s="5" t="s">
        <v>608</v>
      </c>
      <c r="AR24" t="s">
        <v>609</v>
      </c>
      <c r="AS24" s="6">
        <v>42128</v>
      </c>
      <c r="AT24" s="6">
        <v>51501</v>
      </c>
      <c r="AU24" t="s">
        <v>421</v>
      </c>
      <c r="AV24" s="9"/>
      <c r="AX24">
        <v>12</v>
      </c>
      <c r="AY24" s="4">
        <v>0.35499999999999998</v>
      </c>
      <c r="AZ24">
        <v>355</v>
      </c>
      <c r="BA24" s="4">
        <f t="shared" si="4"/>
        <v>4.26</v>
      </c>
      <c r="BB24">
        <v>75</v>
      </c>
      <c r="BC24">
        <v>7.6974</v>
      </c>
      <c r="BD24" s="5" t="s">
        <v>610</v>
      </c>
      <c r="BE24" t="s">
        <v>611</v>
      </c>
      <c r="BF24" s="6">
        <v>42416</v>
      </c>
      <c r="BG24" s="6">
        <v>51501</v>
      </c>
      <c r="BH24" t="s">
        <v>418</v>
      </c>
      <c r="BI24" s="9"/>
    </row>
    <row r="25" spans="1:61" x14ac:dyDescent="0.25">
      <c r="B25" s="4"/>
      <c r="F25" s="5"/>
      <c r="H25" s="6"/>
      <c r="I25" s="6"/>
      <c r="M25">
        <v>1</v>
      </c>
      <c r="N25" s="4">
        <f t="shared" si="5"/>
        <v>0.47299999999999998</v>
      </c>
      <c r="O25">
        <v>473</v>
      </c>
      <c r="P25">
        <v>75</v>
      </c>
      <c r="Q25">
        <v>0.98540000000000005</v>
      </c>
      <c r="R25" s="5" t="s">
        <v>612</v>
      </c>
      <c r="S25" t="s">
        <v>613</v>
      </c>
      <c r="T25" s="6">
        <v>42128</v>
      </c>
      <c r="U25" s="6">
        <v>51501</v>
      </c>
      <c r="V25" t="s">
        <v>421</v>
      </c>
      <c r="W25" s="9"/>
      <c r="Z25" s="4"/>
      <c r="AB25" s="4"/>
      <c r="AE25" s="5"/>
      <c r="AG25" s="6"/>
      <c r="AH25" s="6"/>
      <c r="AI25" s="11"/>
      <c r="AK25">
        <v>12</v>
      </c>
      <c r="AL25" s="4">
        <f t="shared" si="2"/>
        <v>0.33</v>
      </c>
      <c r="AM25">
        <v>330</v>
      </c>
      <c r="AN25" s="4">
        <f t="shared" si="3"/>
        <v>3.96</v>
      </c>
      <c r="AO25">
        <v>75</v>
      </c>
      <c r="AP25">
        <v>7.1553000000000004</v>
      </c>
      <c r="AQ25" s="5" t="s">
        <v>614</v>
      </c>
      <c r="AR25" t="s">
        <v>615</v>
      </c>
      <c r="AS25" s="6">
        <v>42487</v>
      </c>
      <c r="AT25" s="6">
        <v>51501</v>
      </c>
      <c r="AU25" t="s">
        <v>421</v>
      </c>
      <c r="AV25" s="9"/>
      <c r="AX25">
        <v>15</v>
      </c>
      <c r="AY25" s="4">
        <v>0.35499999999999998</v>
      </c>
      <c r="AZ25">
        <v>355</v>
      </c>
      <c r="BA25" s="4">
        <f t="shared" si="4"/>
        <v>5.3249999999999993</v>
      </c>
      <c r="BB25">
        <v>75</v>
      </c>
      <c r="BC25">
        <v>9.6217000000000006</v>
      </c>
      <c r="BD25" s="5" t="s">
        <v>616</v>
      </c>
      <c r="BE25" t="s">
        <v>617</v>
      </c>
      <c r="BF25" s="6">
        <v>42128</v>
      </c>
      <c r="BG25" s="6">
        <v>51501</v>
      </c>
      <c r="BH25" t="s">
        <v>418</v>
      </c>
      <c r="BI25" s="9"/>
    </row>
    <row r="26" spans="1:61" x14ac:dyDescent="0.25">
      <c r="B26" s="4"/>
      <c r="F26" s="5"/>
      <c r="H26" s="6"/>
      <c r="I26" s="6"/>
      <c r="M26">
        <v>1</v>
      </c>
      <c r="N26" s="4">
        <f t="shared" si="5"/>
        <v>0.5</v>
      </c>
      <c r="O26">
        <v>500</v>
      </c>
      <c r="P26">
        <v>75</v>
      </c>
      <c r="Q26">
        <v>1.0417000000000001</v>
      </c>
      <c r="R26" s="5" t="s">
        <v>618</v>
      </c>
      <c r="S26" t="s">
        <v>619</v>
      </c>
      <c r="T26" s="6">
        <v>42128</v>
      </c>
      <c r="U26" s="6">
        <v>51501</v>
      </c>
      <c r="V26" t="s">
        <v>421</v>
      </c>
      <c r="W26" s="9"/>
      <c r="Z26" s="4"/>
      <c r="AB26" s="4"/>
      <c r="AE26" s="5"/>
      <c r="AG26" s="6"/>
      <c r="AH26" s="6"/>
      <c r="AI26" s="11"/>
      <c r="AK26">
        <v>12</v>
      </c>
      <c r="AL26" s="4">
        <f t="shared" si="2"/>
        <v>0.34100000000000003</v>
      </c>
      <c r="AM26">
        <v>341</v>
      </c>
      <c r="AN26" s="4">
        <f t="shared" si="3"/>
        <v>4.0920000000000005</v>
      </c>
      <c r="AO26">
        <v>75</v>
      </c>
      <c r="AP26">
        <v>7.3937999999999997</v>
      </c>
      <c r="AQ26" s="5" t="s">
        <v>620</v>
      </c>
      <c r="AR26" t="s">
        <v>621</v>
      </c>
      <c r="AS26" s="6">
        <v>42128</v>
      </c>
      <c r="AT26" s="6">
        <v>51501</v>
      </c>
      <c r="AU26" t="s">
        <v>421</v>
      </c>
      <c r="AV26" s="9"/>
      <c r="AX26">
        <v>24</v>
      </c>
      <c r="AY26" s="4">
        <v>0.33</v>
      </c>
      <c r="AZ26">
        <v>330</v>
      </c>
      <c r="BA26" s="4">
        <f t="shared" si="4"/>
        <v>7.92</v>
      </c>
      <c r="BB26">
        <v>75</v>
      </c>
      <c r="BC26">
        <v>14.310600000000001</v>
      </c>
      <c r="BD26" s="5" t="s">
        <v>622</v>
      </c>
      <c r="BE26" t="s">
        <v>623</v>
      </c>
      <c r="BF26" s="6">
        <v>42128</v>
      </c>
      <c r="BG26" s="6">
        <v>51501</v>
      </c>
      <c r="BH26" t="s">
        <v>418</v>
      </c>
      <c r="BI26" s="9"/>
    </row>
    <row r="27" spans="1:61" x14ac:dyDescent="0.25">
      <c r="B27" s="4"/>
      <c r="F27" s="5"/>
      <c r="H27" s="6"/>
      <c r="I27" s="6"/>
      <c r="M27">
        <v>1</v>
      </c>
      <c r="N27" s="4">
        <f t="shared" si="5"/>
        <v>0.55000000000000004</v>
      </c>
      <c r="O27">
        <v>550</v>
      </c>
      <c r="P27">
        <v>75</v>
      </c>
      <c r="Q27">
        <v>1.1457999999999999</v>
      </c>
      <c r="R27" s="5" t="s">
        <v>624</v>
      </c>
      <c r="S27" t="s">
        <v>625</v>
      </c>
      <c r="T27" s="6">
        <v>42128</v>
      </c>
      <c r="U27" s="6">
        <v>51501</v>
      </c>
      <c r="V27" t="s">
        <v>421</v>
      </c>
      <c r="W27" s="9"/>
      <c r="Z27" s="4"/>
      <c r="AB27" s="4"/>
      <c r="AE27" s="5"/>
      <c r="AG27" s="6"/>
      <c r="AH27" s="6"/>
      <c r="AI27" s="11"/>
      <c r="AK27">
        <v>12</v>
      </c>
      <c r="AL27" s="4">
        <f t="shared" si="2"/>
        <v>0.35499999999999998</v>
      </c>
      <c r="AM27">
        <v>355</v>
      </c>
      <c r="AN27" s="4">
        <f t="shared" si="3"/>
        <v>4.26</v>
      </c>
      <c r="AO27">
        <v>75</v>
      </c>
      <c r="AP27">
        <v>7.6974</v>
      </c>
      <c r="AQ27" s="5" t="s">
        <v>626</v>
      </c>
      <c r="AR27" t="s">
        <v>627</v>
      </c>
      <c r="AS27" s="6">
        <v>42128</v>
      </c>
      <c r="AT27" s="6">
        <v>51501</v>
      </c>
      <c r="AU27" t="s">
        <v>421</v>
      </c>
      <c r="AV27" s="9"/>
      <c r="AX27">
        <v>24</v>
      </c>
      <c r="AY27" s="4">
        <v>0.35499999999999998</v>
      </c>
      <c r="AZ27">
        <v>355</v>
      </c>
      <c r="BA27" s="4">
        <f t="shared" si="4"/>
        <v>8.52</v>
      </c>
      <c r="BB27">
        <v>75</v>
      </c>
      <c r="BC27">
        <v>15.3948</v>
      </c>
      <c r="BD27" s="5" t="s">
        <v>628</v>
      </c>
      <c r="BE27" t="s">
        <v>629</v>
      </c>
      <c r="BF27" s="6">
        <v>42402</v>
      </c>
      <c r="BG27" s="6">
        <v>51501</v>
      </c>
      <c r="BH27" t="s">
        <v>418</v>
      </c>
      <c r="BI27" s="9"/>
    </row>
    <row r="28" spans="1:61" x14ac:dyDescent="0.25">
      <c r="B28" s="4"/>
      <c r="F28" s="5"/>
      <c r="H28" s="6"/>
      <c r="I28" s="6"/>
      <c r="M28">
        <v>1</v>
      </c>
      <c r="N28" s="4">
        <f t="shared" si="5"/>
        <v>0.56799999999999995</v>
      </c>
      <c r="O28">
        <v>568</v>
      </c>
      <c r="P28">
        <v>75</v>
      </c>
      <c r="Q28">
        <v>1.1833</v>
      </c>
      <c r="R28" s="5" t="s">
        <v>630</v>
      </c>
      <c r="S28" t="s">
        <v>631</v>
      </c>
      <c r="T28" s="6">
        <v>42128</v>
      </c>
      <c r="U28" s="6">
        <v>51501</v>
      </c>
      <c r="V28" t="s">
        <v>421</v>
      </c>
      <c r="W28" s="9"/>
      <c r="Z28" s="4"/>
      <c r="AB28" s="4"/>
      <c r="AE28" s="5"/>
      <c r="AG28" s="6"/>
      <c r="AH28" s="6"/>
      <c r="AI28" s="11"/>
      <c r="AK28">
        <v>18</v>
      </c>
      <c r="AL28" s="4">
        <f t="shared" si="2"/>
        <v>0.33</v>
      </c>
      <c r="AM28">
        <v>330</v>
      </c>
      <c r="AN28" s="4">
        <f t="shared" si="3"/>
        <v>5.94</v>
      </c>
      <c r="AO28">
        <v>75</v>
      </c>
      <c r="AP28">
        <v>10.733000000000001</v>
      </c>
      <c r="AQ28" s="5" t="s">
        <v>632</v>
      </c>
      <c r="AR28" t="s">
        <v>633</v>
      </c>
      <c r="AS28" s="6">
        <v>42096</v>
      </c>
      <c r="AT28" s="6">
        <v>51501</v>
      </c>
      <c r="AU28" t="s">
        <v>421</v>
      </c>
      <c r="AV28" s="9"/>
      <c r="AX28">
        <v>30</v>
      </c>
      <c r="AY28" s="4">
        <v>0.29599999999999999</v>
      </c>
      <c r="AZ28">
        <v>296</v>
      </c>
      <c r="BA28" s="4">
        <f t="shared" si="4"/>
        <v>8.879999999999999</v>
      </c>
      <c r="BB28">
        <v>75</v>
      </c>
      <c r="BC28">
        <v>16.045300000000001</v>
      </c>
      <c r="BD28" s="5" t="s">
        <v>634</v>
      </c>
      <c r="BE28" t="s">
        <v>635</v>
      </c>
      <c r="BF28" s="6">
        <v>42418</v>
      </c>
      <c r="BG28" s="6">
        <v>51501</v>
      </c>
      <c r="BH28" t="s">
        <v>418</v>
      </c>
      <c r="BI28" s="9"/>
    </row>
    <row r="29" spans="1:61" x14ac:dyDescent="0.25">
      <c r="B29" s="4"/>
      <c r="F29" s="5"/>
      <c r="H29" s="6"/>
      <c r="I29" s="6"/>
      <c r="M29">
        <v>1</v>
      </c>
      <c r="N29" s="4">
        <f t="shared" si="5"/>
        <v>0.6</v>
      </c>
      <c r="O29">
        <v>600</v>
      </c>
      <c r="P29">
        <v>75</v>
      </c>
      <c r="Q29">
        <v>1.25</v>
      </c>
      <c r="R29" s="5" t="s">
        <v>636</v>
      </c>
      <c r="S29" t="s">
        <v>637</v>
      </c>
      <c r="T29" s="6">
        <v>42128</v>
      </c>
      <c r="U29" s="6">
        <v>51501</v>
      </c>
      <c r="V29" t="s">
        <v>421</v>
      </c>
      <c r="W29" s="9"/>
      <c r="Z29" s="4"/>
      <c r="AB29" s="4"/>
      <c r="AE29" s="5"/>
      <c r="AG29" s="6"/>
      <c r="AH29" s="6"/>
      <c r="AI29" s="11"/>
      <c r="AK29">
        <v>12</v>
      </c>
      <c r="AL29" s="4">
        <f t="shared" si="2"/>
        <v>0.5</v>
      </c>
      <c r="AM29">
        <v>500</v>
      </c>
      <c r="AN29" s="4">
        <f t="shared" si="3"/>
        <v>6</v>
      </c>
      <c r="AO29">
        <v>75</v>
      </c>
      <c r="AP29">
        <v>10.8414</v>
      </c>
      <c r="AQ29" s="5" t="s">
        <v>638</v>
      </c>
      <c r="AR29" t="s">
        <v>639</v>
      </c>
      <c r="AS29" s="6">
        <v>42597</v>
      </c>
      <c r="AT29" s="6">
        <v>51501</v>
      </c>
      <c r="AU29" t="s">
        <v>421</v>
      </c>
      <c r="AV29" s="9"/>
      <c r="AX29">
        <v>24</v>
      </c>
      <c r="AY29" s="4">
        <v>0.47299999999999998</v>
      </c>
      <c r="AZ29">
        <v>473</v>
      </c>
      <c r="BA29" s="4">
        <f t="shared" si="4"/>
        <v>11.352</v>
      </c>
      <c r="BB29">
        <v>75</v>
      </c>
      <c r="BC29">
        <v>20.511900000000001</v>
      </c>
      <c r="BD29" s="5" t="s">
        <v>640</v>
      </c>
      <c r="BE29" t="s">
        <v>641</v>
      </c>
      <c r="BF29" s="6">
        <v>42128</v>
      </c>
      <c r="BG29" s="6">
        <v>51501</v>
      </c>
      <c r="BH29" t="s">
        <v>418</v>
      </c>
      <c r="BI29" s="9"/>
    </row>
    <row r="30" spans="1:61" x14ac:dyDescent="0.25">
      <c r="B30" s="4"/>
      <c r="F30" s="5"/>
      <c r="H30" s="6"/>
      <c r="I30" s="6"/>
      <c r="M30">
        <v>1</v>
      </c>
      <c r="N30" s="4">
        <f t="shared" si="5"/>
        <v>0.625</v>
      </c>
      <c r="O30">
        <v>625</v>
      </c>
      <c r="P30">
        <v>75</v>
      </c>
      <c r="Q30">
        <v>1.3021</v>
      </c>
      <c r="R30" s="5" t="s">
        <v>642</v>
      </c>
      <c r="S30" t="s">
        <v>643</v>
      </c>
      <c r="T30" s="6">
        <v>42128</v>
      </c>
      <c r="U30" s="6">
        <v>51501</v>
      </c>
      <c r="V30" t="s">
        <v>421</v>
      </c>
      <c r="W30" s="9"/>
      <c r="AK30">
        <v>20</v>
      </c>
      <c r="AL30" s="4">
        <f t="shared" si="2"/>
        <v>0.33</v>
      </c>
      <c r="AM30">
        <v>330</v>
      </c>
      <c r="AN30" s="4">
        <f t="shared" si="3"/>
        <v>6.6000000000000005</v>
      </c>
      <c r="AO30">
        <v>75</v>
      </c>
      <c r="AP30">
        <v>11.9255</v>
      </c>
      <c r="AQ30" s="5" t="s">
        <v>644</v>
      </c>
      <c r="AR30" t="s">
        <v>645</v>
      </c>
      <c r="AS30" s="6">
        <v>42166</v>
      </c>
      <c r="AT30" s="6">
        <v>51501</v>
      </c>
      <c r="AU30" t="s">
        <v>421</v>
      </c>
      <c r="AV30" s="9"/>
      <c r="AX30">
        <v>36</v>
      </c>
      <c r="AY30" s="4">
        <v>0.35499999999999998</v>
      </c>
      <c r="AZ30">
        <v>355</v>
      </c>
      <c r="BA30" s="4">
        <f t="shared" si="4"/>
        <v>12.78</v>
      </c>
      <c r="BB30">
        <v>75</v>
      </c>
      <c r="BC30">
        <v>23.092199999999998</v>
      </c>
      <c r="BD30" s="5" t="s">
        <v>646</v>
      </c>
      <c r="BE30" t="s">
        <v>647</v>
      </c>
      <c r="BF30" s="6">
        <v>42128</v>
      </c>
      <c r="BG30" s="6">
        <v>51501</v>
      </c>
      <c r="BH30" t="s">
        <v>418</v>
      </c>
      <c r="BI30" s="9"/>
    </row>
    <row r="31" spans="1:61" x14ac:dyDescent="0.25">
      <c r="B31" s="4"/>
      <c r="F31" s="5"/>
      <c r="H31" s="6"/>
      <c r="I31" s="6"/>
      <c r="M31">
        <v>1</v>
      </c>
      <c r="N31" s="4">
        <f t="shared" si="5"/>
        <v>0.63</v>
      </c>
      <c r="O31">
        <v>630</v>
      </c>
      <c r="P31">
        <v>75</v>
      </c>
      <c r="Q31">
        <v>1.3125</v>
      </c>
      <c r="R31" s="5" t="s">
        <v>648</v>
      </c>
      <c r="S31" t="s">
        <v>649</v>
      </c>
      <c r="T31" s="6">
        <v>42128</v>
      </c>
      <c r="U31" s="6">
        <v>51501</v>
      </c>
      <c r="V31" t="s">
        <v>421</v>
      </c>
      <c r="W31" s="9"/>
      <c r="AK31">
        <v>24</v>
      </c>
      <c r="AL31" s="4">
        <f t="shared" si="2"/>
        <v>0.33</v>
      </c>
      <c r="AM31">
        <v>330</v>
      </c>
      <c r="AN31" s="4">
        <f t="shared" si="3"/>
        <v>7.92</v>
      </c>
      <c r="AO31">
        <v>75</v>
      </c>
      <c r="AP31">
        <v>14.310600000000001</v>
      </c>
      <c r="AQ31" s="5" t="s">
        <v>650</v>
      </c>
      <c r="AR31" t="s">
        <v>651</v>
      </c>
      <c r="AS31" s="6">
        <v>42128</v>
      </c>
      <c r="AT31" s="6">
        <v>51501</v>
      </c>
      <c r="AU31" t="s">
        <v>421</v>
      </c>
      <c r="AV31" s="9"/>
      <c r="AY31" s="4"/>
      <c r="BA31" s="4"/>
      <c r="BD31" s="5"/>
      <c r="BF31" s="6"/>
      <c r="BG31" s="6"/>
      <c r="BI31" s="11"/>
    </row>
    <row r="32" spans="1:61" x14ac:dyDescent="0.25">
      <c r="B32" s="4"/>
      <c r="F32" s="5"/>
      <c r="H32" s="6"/>
      <c r="I32" s="6"/>
      <c r="M32">
        <v>1</v>
      </c>
      <c r="N32" s="4">
        <f t="shared" si="5"/>
        <v>0.63300000000000001</v>
      </c>
      <c r="O32">
        <v>633</v>
      </c>
      <c r="P32">
        <v>75</v>
      </c>
      <c r="Q32">
        <v>1.3187</v>
      </c>
      <c r="R32" s="5" t="s">
        <v>652</v>
      </c>
      <c r="S32" t="s">
        <v>653</v>
      </c>
      <c r="T32" s="6">
        <v>42128</v>
      </c>
      <c r="U32" s="6">
        <v>51501</v>
      </c>
      <c r="V32" t="s">
        <v>421</v>
      </c>
      <c r="W32" s="9"/>
      <c r="AK32">
        <v>24</v>
      </c>
      <c r="AL32" s="4">
        <f t="shared" si="2"/>
        <v>0.34100000000000003</v>
      </c>
      <c r="AM32">
        <v>341</v>
      </c>
      <c r="AN32" s="4">
        <f t="shared" si="3"/>
        <v>8.1840000000000011</v>
      </c>
      <c r="AO32">
        <v>75</v>
      </c>
      <c r="AP32">
        <v>14.787699999999999</v>
      </c>
      <c r="AQ32" s="5" t="s">
        <v>654</v>
      </c>
      <c r="AR32" t="s">
        <v>655</v>
      </c>
      <c r="AS32" s="6">
        <v>42128</v>
      </c>
      <c r="AT32" s="6">
        <v>51501</v>
      </c>
      <c r="AU32" t="s">
        <v>421</v>
      </c>
      <c r="AV32" s="9"/>
      <c r="AY32" s="4"/>
      <c r="BA32" s="4"/>
      <c r="BD32" s="5"/>
      <c r="BF32" s="6"/>
      <c r="BG32" s="6"/>
      <c r="BI32" s="11"/>
    </row>
    <row r="33" spans="2:61" x14ac:dyDescent="0.25">
      <c r="B33" s="4"/>
      <c r="F33" s="5"/>
      <c r="H33" s="6"/>
      <c r="I33" s="6"/>
      <c r="M33">
        <v>1</v>
      </c>
      <c r="N33" s="4">
        <f t="shared" si="5"/>
        <v>0.64</v>
      </c>
      <c r="O33">
        <v>640</v>
      </c>
      <c r="P33">
        <v>75</v>
      </c>
      <c r="Q33">
        <v>1.3332999999999999</v>
      </c>
      <c r="R33" s="5" t="s">
        <v>656</v>
      </c>
      <c r="S33" t="s">
        <v>657</v>
      </c>
      <c r="T33" s="6">
        <v>42128</v>
      </c>
      <c r="U33" s="6">
        <v>51501</v>
      </c>
      <c r="V33" t="s">
        <v>421</v>
      </c>
      <c r="W33" s="9"/>
      <c r="AK33">
        <v>24</v>
      </c>
      <c r="AL33" s="4">
        <f t="shared" si="2"/>
        <v>0.35499999999999998</v>
      </c>
      <c r="AM33">
        <v>355</v>
      </c>
      <c r="AN33" s="4">
        <f t="shared" si="3"/>
        <v>8.52</v>
      </c>
      <c r="AO33">
        <v>75</v>
      </c>
      <c r="AP33">
        <v>15.3948</v>
      </c>
      <c r="AQ33" s="5" t="s">
        <v>658</v>
      </c>
      <c r="AR33" t="s">
        <v>659</v>
      </c>
      <c r="AS33" s="6">
        <v>42128</v>
      </c>
      <c r="AT33" s="6">
        <v>51501</v>
      </c>
      <c r="AU33" t="s">
        <v>421</v>
      </c>
      <c r="AV33" s="9"/>
      <c r="AY33" s="4"/>
      <c r="BA33" s="4"/>
      <c r="BD33" s="5"/>
      <c r="BF33" s="6"/>
      <c r="BG33" s="6"/>
      <c r="BI33" s="11"/>
    </row>
    <row r="34" spans="2:61" x14ac:dyDescent="0.25">
      <c r="B34" s="4"/>
      <c r="F34" s="5"/>
      <c r="H34" s="6"/>
      <c r="I34" s="6"/>
      <c r="M34">
        <v>1</v>
      </c>
      <c r="N34" s="4">
        <f t="shared" si="5"/>
        <v>0.65</v>
      </c>
      <c r="O34">
        <v>650</v>
      </c>
      <c r="P34">
        <v>75</v>
      </c>
      <c r="Q34">
        <v>1.3541000000000001</v>
      </c>
      <c r="R34" s="5" t="s">
        <v>660</v>
      </c>
      <c r="S34" t="s">
        <v>661</v>
      </c>
      <c r="T34" s="6">
        <v>42128</v>
      </c>
      <c r="U34" s="6">
        <v>51501</v>
      </c>
      <c r="V34" t="s">
        <v>421</v>
      </c>
      <c r="W34" s="9"/>
      <c r="AL34"/>
      <c r="AN34"/>
    </row>
    <row r="35" spans="2:61" x14ac:dyDescent="0.25">
      <c r="B35" s="4"/>
      <c r="F35" s="5"/>
      <c r="H35" s="6"/>
      <c r="I35" s="6"/>
      <c r="M35">
        <v>1</v>
      </c>
      <c r="N35" s="4">
        <f t="shared" si="5"/>
        <v>0.65800000000000003</v>
      </c>
      <c r="O35">
        <v>658</v>
      </c>
      <c r="P35">
        <v>75</v>
      </c>
      <c r="Q35">
        <v>1.3708</v>
      </c>
      <c r="R35" s="5" t="s">
        <v>662</v>
      </c>
      <c r="S35" t="s">
        <v>663</v>
      </c>
      <c r="T35" s="6">
        <v>42128</v>
      </c>
      <c r="U35" s="6">
        <v>51501</v>
      </c>
      <c r="V35" t="s">
        <v>421</v>
      </c>
      <c r="W35" s="9"/>
      <c r="AL35"/>
      <c r="AN35"/>
    </row>
    <row r="36" spans="2:61" x14ac:dyDescent="0.25">
      <c r="B36" s="4"/>
      <c r="F36" s="5"/>
      <c r="H36" s="6"/>
      <c r="I36" s="6"/>
      <c r="M36">
        <v>1</v>
      </c>
      <c r="N36" s="4">
        <f t="shared" si="5"/>
        <v>0.66</v>
      </c>
      <c r="O36">
        <v>660</v>
      </c>
      <c r="P36">
        <v>75</v>
      </c>
      <c r="Q36">
        <v>1.375</v>
      </c>
      <c r="R36" s="5" t="s">
        <v>664</v>
      </c>
      <c r="S36" t="s">
        <v>665</v>
      </c>
      <c r="T36" s="6">
        <v>42128</v>
      </c>
      <c r="U36" s="6">
        <v>51501</v>
      </c>
      <c r="V36" t="s">
        <v>421</v>
      </c>
      <c r="W36" s="9"/>
      <c r="AL36"/>
      <c r="AN36"/>
    </row>
    <row r="37" spans="2:61" x14ac:dyDescent="0.25">
      <c r="B37" s="4"/>
      <c r="F37" s="5"/>
      <c r="H37" s="6"/>
      <c r="I37" s="6"/>
      <c r="M37">
        <v>1</v>
      </c>
      <c r="N37" s="4">
        <f t="shared" si="5"/>
        <v>0.71</v>
      </c>
      <c r="O37">
        <v>710</v>
      </c>
      <c r="P37">
        <v>75</v>
      </c>
      <c r="Q37">
        <v>1.4791000000000001</v>
      </c>
      <c r="R37" s="5" t="s">
        <v>666</v>
      </c>
      <c r="S37" t="s">
        <v>667</v>
      </c>
      <c r="T37" s="6">
        <v>42128</v>
      </c>
      <c r="U37" s="6">
        <v>51501</v>
      </c>
      <c r="V37" t="s">
        <v>421</v>
      </c>
      <c r="W37" s="9"/>
      <c r="AL37"/>
      <c r="AN37"/>
    </row>
    <row r="38" spans="2:61" x14ac:dyDescent="0.25">
      <c r="B38" s="4"/>
      <c r="F38" s="5"/>
      <c r="H38" s="6"/>
      <c r="I38" s="6"/>
      <c r="M38">
        <v>1</v>
      </c>
      <c r="N38" s="4">
        <f t="shared" si="5"/>
        <v>0.75</v>
      </c>
      <c r="O38">
        <v>750</v>
      </c>
      <c r="P38">
        <v>75</v>
      </c>
      <c r="Q38">
        <v>1.5625</v>
      </c>
      <c r="R38" s="5" t="s">
        <v>668</v>
      </c>
      <c r="S38" t="s">
        <v>669</v>
      </c>
      <c r="T38" s="6">
        <v>42128</v>
      </c>
      <c r="U38" s="6">
        <v>51501</v>
      </c>
      <c r="V38" t="s">
        <v>421</v>
      </c>
      <c r="W38" s="9"/>
      <c r="AL38"/>
      <c r="AN38"/>
    </row>
    <row r="39" spans="2:61" x14ac:dyDescent="0.25">
      <c r="B39" s="4"/>
      <c r="F39" s="5"/>
      <c r="H39" s="6"/>
      <c r="I39" s="6"/>
      <c r="M39">
        <v>1</v>
      </c>
      <c r="N39" s="4">
        <f t="shared" si="5"/>
        <v>0.76500000000000001</v>
      </c>
      <c r="O39">
        <v>765</v>
      </c>
      <c r="P39">
        <v>75</v>
      </c>
      <c r="Q39">
        <v>1.5936999999999999</v>
      </c>
      <c r="R39" s="5" t="s">
        <v>670</v>
      </c>
      <c r="S39" t="s">
        <v>671</v>
      </c>
      <c r="T39" s="6">
        <v>42128</v>
      </c>
      <c r="U39" s="6">
        <v>51501</v>
      </c>
      <c r="V39" t="s">
        <v>421</v>
      </c>
      <c r="W39" s="9"/>
      <c r="AL39"/>
      <c r="AN39"/>
    </row>
    <row r="40" spans="2:61" x14ac:dyDescent="0.25">
      <c r="B40" s="4"/>
      <c r="F40" s="5"/>
      <c r="H40" s="6"/>
      <c r="I40" s="6"/>
      <c r="M40">
        <v>1</v>
      </c>
      <c r="N40" s="4">
        <f t="shared" si="5"/>
        <v>0.90900000000000003</v>
      </c>
      <c r="O40">
        <v>909</v>
      </c>
      <c r="P40">
        <v>75</v>
      </c>
      <c r="Q40">
        <v>1.8936999999999999</v>
      </c>
      <c r="R40" s="5" t="s">
        <v>672</v>
      </c>
      <c r="S40" t="s">
        <v>673</v>
      </c>
      <c r="T40" s="6">
        <v>42128</v>
      </c>
      <c r="U40" s="6">
        <v>51501</v>
      </c>
      <c r="V40" t="s">
        <v>421</v>
      </c>
      <c r="W40" s="9"/>
      <c r="AL40"/>
      <c r="AN40"/>
    </row>
    <row r="41" spans="2:61" x14ac:dyDescent="0.25">
      <c r="B41" s="4"/>
      <c r="F41" s="5"/>
      <c r="H41" s="6"/>
      <c r="I41" s="6"/>
      <c r="M41">
        <v>1</v>
      </c>
      <c r="N41" s="4">
        <f t="shared" si="5"/>
        <v>0.94599999999999995</v>
      </c>
      <c r="O41">
        <v>946</v>
      </c>
      <c r="P41">
        <v>75</v>
      </c>
      <c r="Q41">
        <v>1.9708000000000001</v>
      </c>
      <c r="R41" s="5" t="s">
        <v>674</v>
      </c>
      <c r="S41" t="s">
        <v>675</v>
      </c>
      <c r="T41" s="6">
        <v>42128</v>
      </c>
      <c r="U41" s="6">
        <v>51501</v>
      </c>
      <c r="V41" t="s">
        <v>421</v>
      </c>
      <c r="W41" s="9"/>
      <c r="AL41"/>
      <c r="AN41"/>
    </row>
    <row r="42" spans="2:61" x14ac:dyDescent="0.25">
      <c r="N42" s="4"/>
      <c r="R42" s="5"/>
      <c r="T42" s="6"/>
      <c r="U42" s="6"/>
      <c r="AL42"/>
      <c r="AN42"/>
    </row>
    <row r="43" spans="2:61" x14ac:dyDescent="0.25">
      <c r="N43" s="4"/>
      <c r="R43" s="5"/>
      <c r="T43" s="6"/>
      <c r="U43" s="6"/>
      <c r="AL43"/>
      <c r="AN43"/>
    </row>
    <row r="44" spans="2:61" x14ac:dyDescent="0.25">
      <c r="N44" s="4"/>
      <c r="R44" s="5"/>
      <c r="T44" s="6"/>
      <c r="U44" s="6"/>
      <c r="AL44"/>
      <c r="AN44"/>
    </row>
    <row r="45" spans="2:61" x14ac:dyDescent="0.25">
      <c r="N45" s="4"/>
      <c r="R45" s="5"/>
      <c r="T45" s="6"/>
      <c r="U45" s="6"/>
      <c r="AL45"/>
      <c r="AN45"/>
    </row>
    <row r="46" spans="2:61" x14ac:dyDescent="0.25">
      <c r="N46" s="4"/>
      <c r="R46" s="5"/>
      <c r="T46" s="6"/>
      <c r="U46" s="6"/>
      <c r="AL46"/>
      <c r="AN46"/>
    </row>
    <row r="47" spans="2:61" x14ac:dyDescent="0.25">
      <c r="N47" s="4"/>
      <c r="R47" s="5"/>
      <c r="T47" s="6"/>
      <c r="U47" s="6"/>
      <c r="AL47"/>
      <c r="AN47"/>
    </row>
    <row r="48" spans="2:61" x14ac:dyDescent="0.25">
      <c r="N48" s="4"/>
      <c r="R48" s="5"/>
      <c r="T48" s="6"/>
      <c r="U48" s="6"/>
      <c r="AL48"/>
      <c r="AN48"/>
    </row>
    <row r="49" spans="11:40" x14ac:dyDescent="0.25">
      <c r="K49"/>
      <c r="N49" s="4"/>
      <c r="R49" s="5"/>
      <c r="T49" s="6"/>
      <c r="U49" s="6"/>
      <c r="AL49"/>
      <c r="AN49"/>
    </row>
    <row r="50" spans="11:40" x14ac:dyDescent="0.25">
      <c r="K50"/>
      <c r="N50" s="4"/>
      <c r="R50" s="5"/>
      <c r="T50" s="6"/>
      <c r="U50" s="6"/>
      <c r="AL50"/>
      <c r="AN50"/>
    </row>
    <row r="51" spans="11:40" x14ac:dyDescent="0.25">
      <c r="K51"/>
      <c r="N51" s="4"/>
      <c r="R51" s="5"/>
      <c r="T51" s="6"/>
      <c r="U51" s="6"/>
      <c r="AL51"/>
      <c r="AN51"/>
    </row>
    <row r="52" spans="11:40" x14ac:dyDescent="0.25">
      <c r="K52"/>
      <c r="N52" s="4"/>
      <c r="R52" s="5"/>
      <c r="T52" s="6"/>
      <c r="U52" s="6"/>
      <c r="AL52"/>
      <c r="AN52"/>
    </row>
    <row r="53" spans="11:40" x14ac:dyDescent="0.25">
      <c r="K53"/>
      <c r="N53" s="4"/>
      <c r="R53" s="5"/>
      <c r="T53" s="6"/>
      <c r="U53" s="6"/>
      <c r="AL53"/>
      <c r="AN53"/>
    </row>
    <row r="54" spans="11:40" x14ac:dyDescent="0.25">
      <c r="K54"/>
      <c r="N54" s="4"/>
      <c r="R54" s="5"/>
      <c r="T54" s="6"/>
      <c r="U54" s="6"/>
      <c r="AL54"/>
      <c r="AN54"/>
    </row>
    <row r="55" spans="11:40" x14ac:dyDescent="0.25">
      <c r="K55"/>
      <c r="N55" s="4"/>
      <c r="R55" s="5"/>
      <c r="T55" s="6"/>
      <c r="U55" s="6"/>
      <c r="AL55"/>
      <c r="AN55"/>
    </row>
    <row r="56" spans="11:40" x14ac:dyDescent="0.25">
      <c r="K56"/>
      <c r="N56" s="4"/>
      <c r="R56" s="5"/>
      <c r="T56" s="6"/>
      <c r="U56" s="6"/>
      <c r="AL56"/>
      <c r="AN56"/>
    </row>
    <row r="57" spans="11:40" x14ac:dyDescent="0.25">
      <c r="K57"/>
      <c r="N57" s="4"/>
      <c r="R57" s="5"/>
      <c r="T57" s="6"/>
      <c r="U57" s="6"/>
      <c r="AL57"/>
      <c r="AN57"/>
    </row>
    <row r="58" spans="11:40" x14ac:dyDescent="0.25">
      <c r="K58"/>
      <c r="N58" s="4"/>
      <c r="R58" s="5"/>
      <c r="T58" s="6"/>
      <c r="U58" s="6"/>
      <c r="AL58"/>
      <c r="AN58"/>
    </row>
    <row r="59" spans="11:40" x14ac:dyDescent="0.25">
      <c r="K59"/>
      <c r="N59" s="4"/>
      <c r="R59" s="5"/>
      <c r="T59" s="6"/>
      <c r="U59" s="6"/>
      <c r="AL59"/>
      <c r="AN59"/>
    </row>
    <row r="60" spans="11:40" x14ac:dyDescent="0.25">
      <c r="K60"/>
      <c r="N60" s="4"/>
      <c r="R60" s="5"/>
      <c r="T60" s="6"/>
      <c r="U60" s="6"/>
      <c r="AL60"/>
      <c r="AN60"/>
    </row>
    <row r="61" spans="11:40" x14ac:dyDescent="0.25">
      <c r="K61"/>
      <c r="N61" s="4"/>
      <c r="R61" s="5"/>
      <c r="T61" s="6"/>
      <c r="U61" s="6"/>
      <c r="AL61"/>
      <c r="AN61"/>
    </row>
    <row r="62" spans="11:40" x14ac:dyDescent="0.25">
      <c r="K62"/>
      <c r="N62" s="4"/>
      <c r="R62" s="5"/>
      <c r="T62" s="6"/>
      <c r="U62" s="6"/>
    </row>
    <row r="63" spans="11:40" x14ac:dyDescent="0.25">
      <c r="K63"/>
      <c r="N63" s="4"/>
      <c r="R63" s="5"/>
      <c r="T63" s="6"/>
      <c r="U63" s="6"/>
    </row>
    <row r="64" spans="11:40" x14ac:dyDescent="0.25">
      <c r="K64"/>
      <c r="N64" s="4"/>
      <c r="R64" s="5"/>
      <c r="T64" s="6"/>
      <c r="U64" s="6"/>
    </row>
    <row r="65" spans="14:21" customFormat="1" x14ac:dyDescent="0.25">
      <c r="N65" s="4"/>
      <c r="R65" s="5"/>
      <c r="T65" s="6"/>
      <c r="U65" s="6"/>
    </row>
    <row r="66" spans="14:21" customFormat="1" x14ac:dyDescent="0.25">
      <c r="N66" s="4"/>
      <c r="R66" s="5"/>
      <c r="T66" s="6"/>
      <c r="U66" s="6"/>
    </row>
    <row r="67" spans="14:21" customFormat="1" x14ac:dyDescent="0.25">
      <c r="N67" s="4"/>
      <c r="R67" s="5"/>
      <c r="T67" s="6"/>
      <c r="U67" s="6"/>
    </row>
    <row r="68" spans="14:21" customFormat="1" x14ac:dyDescent="0.25">
      <c r="N68" s="4"/>
      <c r="R68" s="5"/>
      <c r="T68" s="6"/>
      <c r="U68" s="6"/>
    </row>
    <row r="69" spans="14:21" customFormat="1" x14ac:dyDescent="0.25">
      <c r="N69" s="4"/>
      <c r="R69" s="5"/>
      <c r="T69" s="6"/>
      <c r="U69" s="6"/>
    </row>
    <row r="70" spans="14:21" customFormat="1" x14ac:dyDescent="0.25">
      <c r="N70" s="4"/>
      <c r="R70" s="5"/>
      <c r="T70" s="6"/>
      <c r="U70" s="6"/>
    </row>
    <row r="71" spans="14:21" customFormat="1" x14ac:dyDescent="0.25">
      <c r="N71" s="4"/>
      <c r="R71" s="5"/>
      <c r="T71" s="6"/>
      <c r="U71" s="6"/>
    </row>
  </sheetData>
  <conditionalFormatting sqref="AB14:AB29">
    <cfRule type="duplicateValues" dxfId="4" priority="5"/>
  </conditionalFormatting>
  <conditionalFormatting sqref="B3:B21">
    <cfRule type="duplicateValues" dxfId="3" priority="4"/>
  </conditionalFormatting>
  <conditionalFormatting sqref="N3:N41">
    <cfRule type="duplicateValues" dxfId="2" priority="3"/>
  </conditionalFormatting>
  <conditionalFormatting sqref="AN3:AN33">
    <cfRule type="duplicateValues" dxfId="1" priority="2"/>
  </conditionalFormatting>
  <conditionalFormatting sqref="BA3:BA30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0"/>
  <sheetViews>
    <sheetView workbookViewId="0">
      <selection activeCell="E15" sqref="E15"/>
    </sheetView>
  </sheetViews>
  <sheetFormatPr defaultRowHeight="15" x14ac:dyDescent="0.25"/>
  <sheetData>
    <row r="1" spans="1:5" ht="15.75" thickBot="1" x14ac:dyDescent="0.3">
      <c r="A1" s="179" t="s">
        <v>676</v>
      </c>
      <c r="B1" s="180"/>
      <c r="C1" s="180"/>
      <c r="D1" s="180"/>
      <c r="E1" s="181"/>
    </row>
    <row r="2" spans="1:5" ht="15.75" thickBot="1" x14ac:dyDescent="0.3">
      <c r="A2" s="14"/>
      <c r="B2" s="15"/>
      <c r="C2" s="15"/>
      <c r="D2" s="15"/>
      <c r="E2" s="15"/>
    </row>
    <row r="3" spans="1:5" ht="60.75" thickBot="1" x14ac:dyDescent="0.3">
      <c r="A3" s="14"/>
      <c r="B3" s="16" t="s">
        <v>677</v>
      </c>
      <c r="C3" s="17" t="s">
        <v>678</v>
      </c>
      <c r="D3" s="17" t="s">
        <v>679</v>
      </c>
      <c r="E3" s="18" t="s">
        <v>680</v>
      </c>
    </row>
    <row r="4" spans="1:5" x14ac:dyDescent="0.25">
      <c r="A4" s="182" t="s">
        <v>681</v>
      </c>
      <c r="B4" s="19" t="s">
        <v>682</v>
      </c>
      <c r="C4" s="20"/>
      <c r="D4" s="20">
        <v>99</v>
      </c>
      <c r="E4" s="132">
        <v>116.26</v>
      </c>
    </row>
    <row r="5" spans="1:5" x14ac:dyDescent="0.25">
      <c r="A5" s="183"/>
      <c r="B5" s="21" t="s">
        <v>683</v>
      </c>
      <c r="C5" s="22">
        <v>100</v>
      </c>
      <c r="D5" s="22">
        <v>299</v>
      </c>
      <c r="E5" s="130">
        <v>95.12</v>
      </c>
    </row>
    <row r="6" spans="1:5" x14ac:dyDescent="0.25">
      <c r="A6" s="183"/>
      <c r="B6" s="21" t="s">
        <v>684</v>
      </c>
      <c r="C6" s="22">
        <v>300</v>
      </c>
      <c r="D6" s="22">
        <v>399</v>
      </c>
      <c r="E6" s="130">
        <v>79.27</v>
      </c>
    </row>
    <row r="7" spans="1:5" x14ac:dyDescent="0.25">
      <c r="A7" s="183"/>
      <c r="B7" s="21" t="s">
        <v>685</v>
      </c>
      <c r="C7" s="22">
        <v>400</v>
      </c>
      <c r="D7" s="22">
        <v>699</v>
      </c>
      <c r="E7" s="130">
        <v>73.98</v>
      </c>
    </row>
    <row r="8" spans="1:5" ht="15.75" thickBot="1" x14ac:dyDescent="0.3">
      <c r="A8" s="184"/>
      <c r="B8" s="21" t="s">
        <v>686</v>
      </c>
      <c r="C8" s="22">
        <v>700</v>
      </c>
      <c r="D8" s="22"/>
      <c r="E8" s="130">
        <v>69.81</v>
      </c>
    </row>
    <row r="9" spans="1:5" x14ac:dyDescent="0.25">
      <c r="A9" s="182" t="s">
        <v>687</v>
      </c>
      <c r="B9" s="19" t="s">
        <v>688</v>
      </c>
      <c r="C9" s="20"/>
      <c r="D9" s="23">
        <v>9999</v>
      </c>
      <c r="E9" s="132">
        <v>69.81</v>
      </c>
    </row>
    <row r="10" spans="1:5" x14ac:dyDescent="0.25">
      <c r="A10" s="183"/>
      <c r="B10" s="21" t="s">
        <v>689</v>
      </c>
      <c r="C10" s="24">
        <v>10000</v>
      </c>
      <c r="D10" s="24">
        <v>19999</v>
      </c>
      <c r="E10" s="130">
        <v>63.41</v>
      </c>
    </row>
    <row r="11" spans="1:5" ht="15.75" thickBot="1" x14ac:dyDescent="0.3">
      <c r="A11" s="184"/>
      <c r="B11" s="25" t="s">
        <v>690</v>
      </c>
      <c r="C11" s="26">
        <v>20000</v>
      </c>
      <c r="D11" s="27"/>
      <c r="E11" s="131">
        <v>58.13</v>
      </c>
    </row>
    <row r="12" spans="1:5" x14ac:dyDescent="0.25">
      <c r="A12" s="176" t="s">
        <v>691</v>
      </c>
      <c r="B12" s="19" t="s">
        <v>682</v>
      </c>
      <c r="C12" s="20"/>
      <c r="D12" s="20">
        <v>99</v>
      </c>
      <c r="E12" s="132">
        <v>422.75</v>
      </c>
    </row>
    <row r="13" spans="1:5" x14ac:dyDescent="0.25">
      <c r="A13" s="177"/>
      <c r="B13" s="21" t="s">
        <v>692</v>
      </c>
      <c r="C13" s="22">
        <v>100</v>
      </c>
      <c r="D13" s="22">
        <v>249</v>
      </c>
      <c r="E13" s="130">
        <v>95.12</v>
      </c>
    </row>
    <row r="14" spans="1:5" x14ac:dyDescent="0.25">
      <c r="A14" s="177"/>
      <c r="B14" s="21" t="s">
        <v>693</v>
      </c>
      <c r="C14" s="22">
        <v>250</v>
      </c>
      <c r="D14" s="22">
        <v>399</v>
      </c>
      <c r="E14" s="130">
        <v>79.27</v>
      </c>
    </row>
    <row r="15" spans="1:5" x14ac:dyDescent="0.25">
      <c r="A15" s="177"/>
      <c r="B15" s="21" t="s">
        <v>685</v>
      </c>
      <c r="C15" s="22">
        <v>400</v>
      </c>
      <c r="D15" s="22">
        <v>699</v>
      </c>
      <c r="E15" s="130">
        <v>73.98</v>
      </c>
    </row>
    <row r="16" spans="1:5" ht="15.75" thickBot="1" x14ac:dyDescent="0.3">
      <c r="A16" s="178"/>
      <c r="B16" s="25" t="s">
        <v>686</v>
      </c>
      <c r="C16" s="27">
        <v>700</v>
      </c>
      <c r="D16" s="27"/>
      <c r="E16" s="131">
        <v>69.81</v>
      </c>
    </row>
    <row r="17" spans="1:5" x14ac:dyDescent="0.25">
      <c r="A17" s="182" t="s">
        <v>694</v>
      </c>
      <c r="B17" s="19" t="s">
        <v>682</v>
      </c>
      <c r="C17" s="20"/>
      <c r="D17" s="20">
        <v>99</v>
      </c>
      <c r="E17" s="132">
        <v>137.38999999999999</v>
      </c>
    </row>
    <row r="18" spans="1:5" x14ac:dyDescent="0.25">
      <c r="A18" s="183"/>
      <c r="B18" s="21" t="s">
        <v>695</v>
      </c>
      <c r="C18" s="22">
        <v>100</v>
      </c>
      <c r="D18" s="22">
        <v>374</v>
      </c>
      <c r="E18" s="130">
        <v>100.4</v>
      </c>
    </row>
    <row r="19" spans="1:5" x14ac:dyDescent="0.25">
      <c r="A19" s="183"/>
      <c r="B19" s="21" t="s">
        <v>696</v>
      </c>
      <c r="C19" s="22">
        <v>375</v>
      </c>
      <c r="D19" s="22">
        <v>699</v>
      </c>
      <c r="E19" s="130">
        <v>73.98</v>
      </c>
    </row>
    <row r="20" spans="1:5" x14ac:dyDescent="0.25">
      <c r="A20" s="183"/>
      <c r="B20" s="21" t="s">
        <v>697</v>
      </c>
      <c r="C20" s="22">
        <v>700</v>
      </c>
      <c r="D20" s="24">
        <v>3999</v>
      </c>
      <c r="E20" s="130">
        <v>69.81</v>
      </c>
    </row>
    <row r="21" spans="1:5" ht="15.75" thickBot="1" x14ac:dyDescent="0.3">
      <c r="A21" s="184"/>
      <c r="B21" s="25" t="s">
        <v>698</v>
      </c>
      <c r="C21" s="26">
        <v>4000</v>
      </c>
      <c r="D21" s="27"/>
      <c r="E21" s="131">
        <v>58.13</v>
      </c>
    </row>
    <row r="22" spans="1:5" x14ac:dyDescent="0.25">
      <c r="A22" s="176" t="s">
        <v>699</v>
      </c>
      <c r="B22" s="19" t="s">
        <v>682</v>
      </c>
      <c r="C22" s="20"/>
      <c r="D22" s="20">
        <v>99</v>
      </c>
      <c r="E22" s="132">
        <v>211.38</v>
      </c>
    </row>
    <row r="23" spans="1:5" x14ac:dyDescent="0.25">
      <c r="A23" s="177"/>
      <c r="B23" s="21" t="s">
        <v>695</v>
      </c>
      <c r="C23" s="22">
        <v>100</v>
      </c>
      <c r="D23" s="22">
        <v>374</v>
      </c>
      <c r="E23" s="130">
        <v>100.4</v>
      </c>
    </row>
    <row r="24" spans="1:5" x14ac:dyDescent="0.25">
      <c r="A24" s="177"/>
      <c r="B24" s="21" t="s">
        <v>696</v>
      </c>
      <c r="C24" s="22">
        <v>375</v>
      </c>
      <c r="D24" s="22">
        <v>699</v>
      </c>
      <c r="E24" s="130">
        <v>73.98</v>
      </c>
    </row>
    <row r="25" spans="1:5" ht="15.75" thickBot="1" x14ac:dyDescent="0.3">
      <c r="A25" s="178"/>
      <c r="B25" s="25" t="s">
        <v>686</v>
      </c>
      <c r="C25" s="27">
        <v>700</v>
      </c>
      <c r="D25" s="27"/>
      <c r="E25" s="131">
        <v>69.81</v>
      </c>
    </row>
    <row r="26" spans="1:5" x14ac:dyDescent="0.25">
      <c r="A26" t="s">
        <v>700</v>
      </c>
      <c r="D26" s="28">
        <v>100</v>
      </c>
    </row>
    <row r="27" spans="1:5" x14ac:dyDescent="0.25">
      <c r="C27" s="29">
        <v>100</v>
      </c>
      <c r="D27" s="28">
        <v>374</v>
      </c>
    </row>
    <row r="28" spans="1:5" x14ac:dyDescent="0.25">
      <c r="C28" s="29">
        <v>375</v>
      </c>
      <c r="D28" s="28">
        <v>699</v>
      </c>
    </row>
    <row r="29" spans="1:5" x14ac:dyDescent="0.25">
      <c r="C29" s="29">
        <v>700</v>
      </c>
      <c r="D29" s="28">
        <v>4000</v>
      </c>
    </row>
    <row r="30" spans="1:5" x14ac:dyDescent="0.25">
      <c r="C30" s="29">
        <v>4001</v>
      </c>
    </row>
  </sheetData>
  <mergeCells count="6">
    <mergeCell ref="A22:A25"/>
    <mergeCell ref="A1:E1"/>
    <mergeCell ref="A4:A8"/>
    <mergeCell ref="A9:A11"/>
    <mergeCell ref="A12:A16"/>
    <mergeCell ref="A17:A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04E822-4179-4BDB-8BE9-0DF27305A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2D2F01-3106-4E6F-9C5A-3EEB74FA61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475C51-9891-4F15-A920-158A6ECE9227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b7bfb68b-a3bb-4a28-a4e0-f34ef2d57dd6"/>
    <ds:schemaRef ds:uri="3ed7015c-3088-4573-a2b5-1c16df166e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Trial Pricing Calculator </vt:lpstr>
      <vt:lpstr>Calculations</vt:lpstr>
      <vt:lpstr>Spirit Min. Markup</vt:lpstr>
      <vt:lpstr>Wine Min. Markup</vt:lpstr>
      <vt:lpstr>Ref. Bev. Min. Markup</vt:lpstr>
      <vt:lpstr>Beer Min. Markup</vt:lpstr>
      <vt:lpstr>SRP</vt:lpstr>
      <vt:lpstr>Micro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Jocelyn Santiago</cp:lastModifiedBy>
  <cp:lastPrinted>2019-12-12T16:32:09Z</cp:lastPrinted>
  <dcterms:created xsi:type="dcterms:W3CDTF">2017-01-25T15:18:40Z</dcterms:created>
  <dcterms:modified xsi:type="dcterms:W3CDTF">2021-07-07T20:08:23Z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