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CALCULATORS/"/>
    </mc:Choice>
  </mc:AlternateContent>
  <xr:revisionPtr revIDLastSave="4" documentId="8_{E13FBA4E-07C6-4818-8167-CE5F934AD914}" xr6:coauthVersionLast="47" xr6:coauthVersionMax="47" xr10:uidLastSave="{6C34F91C-D7A2-4D80-B8A1-3FBF14FDC91C}"/>
  <workbookProtection workbookAlgorithmName="SHA-512" workbookHashValue="2EOjV1neMK7iahEOCI9nS0G9tDJxBq9fUM4sd1bDfw5ix1y8JdURAnjy7B0pw9ikjGTq5jA4KpAThkBk20Mfqw==" workbookSaltValue="V8UNiM8qZV7eJRPskElfQA==" workbookSpinCount="100000" lockStructure="1"/>
  <bookViews>
    <workbookView xWindow="-28910" yWindow="-5360" windowWidth="29020" windowHeight="15820" tabRatio="847" xr2:uid="{00000000-000D-0000-FFFF-FFFF00000000}"/>
  </bookViews>
  <sheets>
    <sheet name="Trial Pricing Calculator" sheetId="9" r:id="rId1"/>
    <sheet name="Calculations" sheetId="1" state="hidden" r:id="rId2"/>
    <sheet name="Rates" sheetId="7" state="hidden" r:id="rId3"/>
    <sheet name="SRP" sheetId="6" state="hidden" r:id="rId4"/>
  </sheets>
  <definedNames>
    <definedName name="Beer">Rates!$E$4</definedName>
    <definedName name="Canada">Rates!$N$6:$N$26</definedName>
    <definedName name="CanadaF">Rates!$I$6:$I$7</definedName>
    <definedName name="Certificate_of_Origin">Rates!$F$4:$F$5</definedName>
    <definedName name="Currency_MBLL">Rates!$K$6:$K$12</definedName>
    <definedName name="Currency_Private">Rates!$K$15</definedName>
    <definedName name="Freight">Rates!$M$6:$M$8</definedName>
    <definedName name="International">Rates!$R$6:$R$36</definedName>
    <definedName name="InternationalF">Rates!$J$6</definedName>
    <definedName name="MBLL_Product_Category">Rates!$A$4:$A$7</definedName>
    <definedName name="Private_Distribution">Rates!$I$11</definedName>
    <definedName name="Private_Distribution_Beer">Rates!$I$11:$I$13</definedName>
    <definedName name="Private_Distribution_RTD">Rates!$I$17:$I$18</definedName>
    <definedName name="Private_Product_Category">Rates!$A$19:$A$20</definedName>
    <definedName name="Ready_to_Drink">Rates!$D$4:$D$9</definedName>
    <definedName name="Ready_to_Drink_Private">Rates!$C$19:$C$23</definedName>
    <definedName name="Select">Rates!$E$19:$E$20</definedName>
    <definedName name="Spirit">Rates!$B$4:$B$11</definedName>
    <definedName name="USA">Rates!$P$6:$P$24</definedName>
    <definedName name="Wine">Rates!$C$4:$C$7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9" l="1"/>
  <c r="K14" i="9"/>
  <c r="K13" i="1" l="1"/>
  <c r="T13" i="1"/>
  <c r="T14" i="1"/>
  <c r="K37" i="1" a="1"/>
  <c r="K37" i="1" s="1"/>
  <c r="R14" i="1" l="1"/>
  <c r="R13" i="1"/>
  <c r="X13" i="1" l="1"/>
  <c r="X5" i="1"/>
  <c r="X4" i="1"/>
  <c r="W22" i="1"/>
  <c r="X22" i="1" s="1"/>
  <c r="W21" i="1"/>
  <c r="X21" i="1" s="1"/>
  <c r="X18" i="1"/>
  <c r="X17" i="1"/>
  <c r="X14" i="1"/>
  <c r="X12" i="1"/>
  <c r="X9" i="1"/>
  <c r="X8" i="1"/>
  <c r="B9" i="1" l="1"/>
  <c r="D22" i="9" l="1"/>
  <c r="K18" i="9"/>
  <c r="L18" i="9" s="1"/>
  <c r="K40" i="9" l="1"/>
  <c r="D33" i="9"/>
  <c r="D32" i="9"/>
  <c r="D18" i="9"/>
  <c r="A39" i="1" l="1"/>
  <c r="B39" i="1" l="1"/>
  <c r="D47" i="1"/>
  <c r="E47" i="1" s="1"/>
  <c r="F43" i="1"/>
  <c r="D29" i="9"/>
  <c r="D20" i="9"/>
  <c r="B11" i="1"/>
  <c r="D23" i="9"/>
  <c r="K24" i="9" l="1"/>
  <c r="B4" i="1"/>
  <c r="D17" i="9"/>
  <c r="K38" i="9" l="1"/>
  <c r="F47" i="1" l="1"/>
  <c r="K20" i="9"/>
  <c r="D26" i="9"/>
  <c r="D28" i="9"/>
  <c r="D21" i="9" l="1"/>
  <c r="K25" i="9" l="1"/>
  <c r="B12" i="1" l="1"/>
  <c r="K23" i="9" l="1"/>
  <c r="B10" i="1"/>
  <c r="B7" i="1"/>
  <c r="B6" i="1"/>
  <c r="L25" i="9" s="1"/>
  <c r="B5" i="1"/>
  <c r="D27" i="9"/>
  <c r="K17" i="9"/>
  <c r="K16" i="9"/>
  <c r="K15" i="9"/>
  <c r="K22" i="9"/>
  <c r="K21" i="9"/>
  <c r="D24" i="9"/>
  <c r="D16" i="9"/>
  <c r="D15" i="9"/>
  <c r="D14" i="9"/>
  <c r="D7" i="1" l="1"/>
  <c r="J13" i="1"/>
  <c r="N13" i="1"/>
  <c r="H28" i="1" s="1"/>
  <c r="M13" i="1"/>
  <c r="H34" i="1"/>
  <c r="L13" i="1"/>
  <c r="F7" i="1"/>
  <c r="F13" i="1"/>
  <c r="D13" i="1"/>
  <c r="G13" i="1"/>
  <c r="E13" i="1"/>
  <c r="B8" i="1"/>
  <c r="K24" i="1" s="1"/>
  <c r="L24" i="9"/>
  <c r="B64" i="1" s="1"/>
  <c r="B21" i="1"/>
  <c r="E19" i="1"/>
  <c r="F4" i="1"/>
  <c r="E4" i="1"/>
  <c r="G7" i="1"/>
  <c r="D19" i="1"/>
  <c r="L15" i="9"/>
  <c r="B56" i="1" s="1"/>
  <c r="E7" i="1"/>
  <c r="G19" i="1"/>
  <c r="F19" i="1"/>
  <c r="G16" i="1"/>
  <c r="D16" i="1"/>
  <c r="E16" i="1"/>
  <c r="F16" i="1"/>
  <c r="C39" i="1" l="1"/>
  <c r="L24" i="1"/>
  <c r="K22" i="1"/>
  <c r="J22" i="1"/>
  <c r="D4" i="1"/>
  <c r="L16" i="9" s="1"/>
  <c r="B57" i="1" s="1"/>
  <c r="M22" i="1"/>
  <c r="L22" i="9"/>
  <c r="B62" i="1" s="1"/>
  <c r="L22" i="1"/>
  <c r="L17" i="9"/>
  <c r="B58" i="1" s="1"/>
  <c r="L23" i="9"/>
  <c r="B63" i="1" s="1"/>
  <c r="H47" i="1"/>
  <c r="L21" i="9"/>
  <c r="B61" i="1" l="1"/>
  <c r="E43" i="1"/>
  <c r="E40" i="9"/>
  <c r="D34" i="1"/>
  <c r="H43" i="1" l="1"/>
  <c r="G43" i="1" s="1"/>
  <c r="B43" i="1" s="1"/>
  <c r="C43" i="1" l="1"/>
  <c r="A43" i="1" s="1"/>
  <c r="D43" i="1" l="1"/>
  <c r="G47" i="1" l="1"/>
  <c r="B47" i="1" s="1"/>
  <c r="C47" i="1" s="1"/>
  <c r="A47" i="1" s="1"/>
  <c r="B18" i="1" s="1"/>
  <c r="N10" i="1" l="1"/>
  <c r="N5" i="1" s="1"/>
  <c r="B15" i="1" l="1"/>
  <c r="E33" i="9" l="1"/>
  <c r="B28" i="1" l="1"/>
  <c r="E28" i="1" s="1"/>
  <c r="F28" i="1" s="1"/>
  <c r="G28" i="1" s="1"/>
  <c r="D28" i="1" l="1"/>
  <c r="B17" i="1" s="1"/>
  <c r="E38" i="9" l="1"/>
  <c r="G32" i="1"/>
  <c r="F32" i="1" s="1"/>
  <c r="D32" i="1" l="1"/>
  <c r="E32" i="1" s="1"/>
  <c r="C32" i="1" s="1"/>
  <c r="H32" i="1" l="1"/>
  <c r="I34" i="1" s="1"/>
  <c r="I32" i="1" s="1"/>
  <c r="B19" i="1" s="1"/>
  <c r="L38" i="9" s="1"/>
  <c r="A32" i="1"/>
  <c r="B3" i="1" s="1"/>
  <c r="B32" i="1" l="1"/>
  <c r="A28" i="1"/>
  <c r="L40" i="9"/>
  <c r="L13" i="9" s="1"/>
  <c r="L14" i="9"/>
  <c r="B13" i="1" l="1"/>
  <c r="L10" i="1" s="1"/>
  <c r="L5" i="1" s="1"/>
  <c r="F10" i="1" s="1"/>
  <c r="B55" i="1"/>
  <c r="K10" i="1" l="1"/>
  <c r="K5" i="1" s="1"/>
  <c r="E10" i="1" s="1"/>
  <c r="M10" i="1"/>
  <c r="M5" i="1" s="1"/>
  <c r="G10" i="1" s="1"/>
  <c r="J10" i="1"/>
  <c r="J5" i="1" s="1"/>
  <c r="D10" i="1" s="1"/>
  <c r="C28" i="1" l="1"/>
  <c r="L20" i="9"/>
  <c r="B60" i="1" s="1"/>
  <c r="B65" i="1" s="1"/>
  <c r="E39" i="1" l="1"/>
  <c r="G39" i="1" s="1"/>
  <c r="D39" i="1" s="1"/>
  <c r="F3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<sst xmlns="http://schemas.openxmlformats.org/spreadsheetml/2006/main" count="479" uniqueCount="312">
  <si>
    <t>Minimum Markup</t>
  </si>
  <si>
    <t>Surcharge</t>
  </si>
  <si>
    <t>Can</t>
  </si>
  <si>
    <t>Bottle</t>
  </si>
  <si>
    <t>Social Reference Price per Litre of Absolute Alcohol for all Categories and Pack Sizes</t>
  </si>
  <si>
    <t>Total Volume</t>
  </si>
  <si>
    <t>Low</t>
  </si>
  <si>
    <t>High</t>
  </si>
  <si>
    <t>Cost per Litre of Absolute Alcohol</t>
  </si>
  <si>
    <t>Spirits</t>
  </si>
  <si>
    <t>&lt;100 mL</t>
  </si>
  <si>
    <t>&gt;=700 mL</t>
  </si>
  <si>
    <t>Beer</t>
  </si>
  <si>
    <t>&lt;10,000 L</t>
  </si>
  <si>
    <t>&gt;=20,000 L</t>
  </si>
  <si>
    <t>Refreshment Beverages</t>
  </si>
  <si>
    <t>Wine</t>
  </si>
  <si>
    <t>&gt;=4,000 mL</t>
  </si>
  <si>
    <t>Fortified Wine</t>
  </si>
  <si>
    <t>Manitoba Liquor &amp; Lotteries</t>
  </si>
  <si>
    <t>Product Information</t>
  </si>
  <si>
    <t>Sub-Type</t>
  </si>
  <si>
    <t>Case Cost</t>
  </si>
  <si>
    <t>Currency</t>
  </si>
  <si>
    <t>Duty Type</t>
  </si>
  <si>
    <t>Markup</t>
  </si>
  <si>
    <t xml:space="preserve">Product Category </t>
  </si>
  <si>
    <t xml:space="preserve">Freight </t>
  </si>
  <si>
    <t>Rate</t>
  </si>
  <si>
    <t>Container Type</t>
  </si>
  <si>
    <t>Canada Zones</t>
  </si>
  <si>
    <t>Canada Rates</t>
  </si>
  <si>
    <t>American  Zones</t>
  </si>
  <si>
    <t>American Rates</t>
  </si>
  <si>
    <t>International   Zones</t>
  </si>
  <si>
    <t>International Rates</t>
  </si>
  <si>
    <t>Spirit</t>
  </si>
  <si>
    <t>Ref. Bev</t>
  </si>
  <si>
    <t>Canada</t>
  </si>
  <si>
    <t>International</t>
  </si>
  <si>
    <t>Brandy/Cognac</t>
  </si>
  <si>
    <t>Sake</t>
  </si>
  <si>
    <t>Cider</t>
  </si>
  <si>
    <t>Yes</t>
  </si>
  <si>
    <t>CAD</t>
  </si>
  <si>
    <t>Quebec Zone 1 - Montreal/Pointe Claire</t>
  </si>
  <si>
    <t>Arkansas</t>
  </si>
  <si>
    <t>Argentina</t>
  </si>
  <si>
    <t>Excise</t>
  </si>
  <si>
    <t>Customs</t>
  </si>
  <si>
    <t>Gin</t>
  </si>
  <si>
    <t>Sparkling Wine</t>
  </si>
  <si>
    <t>Spirit Cooler</t>
  </si>
  <si>
    <t>No</t>
  </si>
  <si>
    <t>AUD</t>
  </si>
  <si>
    <t>USA</t>
  </si>
  <si>
    <t>Quebec Zone 2 - Montreal/Wine Totes</t>
  </si>
  <si>
    <t>California - Modesto - Gallo</t>
  </si>
  <si>
    <t>Duty Paid</t>
  </si>
  <si>
    <t>Liqueur</t>
  </si>
  <si>
    <t>Wine Cooler</t>
  </si>
  <si>
    <t>EUR</t>
  </si>
  <si>
    <t>Quebec Zone 3 - SAQ &amp; Misc.</t>
  </si>
  <si>
    <t>California - American Canyon</t>
  </si>
  <si>
    <t>Australia (Exworks)</t>
  </si>
  <si>
    <t>Miscellaneous Spirit</t>
  </si>
  <si>
    <t>NZD</t>
  </si>
  <si>
    <t>Quebec Zone 4 - Valleyfield</t>
  </si>
  <si>
    <t>Illinois</t>
  </si>
  <si>
    <t>Austria</t>
  </si>
  <si>
    <t>Rum</t>
  </si>
  <si>
    <t>All Other Wine</t>
  </si>
  <si>
    <t>RAND</t>
  </si>
  <si>
    <t>Ontario Zone 1 - Brampton-Bacardi</t>
  </si>
  <si>
    <t>Indiana</t>
  </si>
  <si>
    <t>Belgium</t>
  </si>
  <si>
    <t>Natural Markup</t>
  </si>
  <si>
    <t>Tequila</t>
  </si>
  <si>
    <t>GBP</t>
  </si>
  <si>
    <t>Ontario Zone 2 - Hamilton/Niagara</t>
  </si>
  <si>
    <t>Kentucky</t>
  </si>
  <si>
    <t xml:space="preserve">Chile </t>
  </si>
  <si>
    <t>Vodka</t>
  </si>
  <si>
    <t>USD</t>
  </si>
  <si>
    <t>Maine</t>
  </si>
  <si>
    <t>Czech Republic</t>
  </si>
  <si>
    <t>Whisk(e)y</t>
  </si>
  <si>
    <t xml:space="preserve">Maryland </t>
  </si>
  <si>
    <t>Denmark</t>
  </si>
  <si>
    <t>Ontario Zone 5 - Winona/Grimsby</t>
  </si>
  <si>
    <t>Michigan</t>
  </si>
  <si>
    <t>France</t>
  </si>
  <si>
    <t>Ontario Zone 6 - Ontario Misc.</t>
  </si>
  <si>
    <t>Minnesota</t>
  </si>
  <si>
    <t>Germany (FCA,FOB)</t>
  </si>
  <si>
    <t xml:space="preserve">Missouri </t>
  </si>
  <si>
    <t>Germany (Exworks)</t>
  </si>
  <si>
    <t>Alberta Zone 2 - Calgary</t>
  </si>
  <si>
    <t>New Jersey</t>
  </si>
  <si>
    <t>Greece</t>
  </si>
  <si>
    <t>Alberta Zone 3 - Lethbridge</t>
  </si>
  <si>
    <t>New York</t>
  </si>
  <si>
    <t>Hungary</t>
  </si>
  <si>
    <t>B.C. Zone 1 - B.C Misc.</t>
  </si>
  <si>
    <t>Ohio</t>
  </si>
  <si>
    <t>Ireland</t>
  </si>
  <si>
    <t>B.C. Zone 2 - Oliver-Constellation</t>
  </si>
  <si>
    <t>Pennsylvania</t>
  </si>
  <si>
    <t>Italy</t>
  </si>
  <si>
    <t>B.C. Zone 3 - Vancouver/BCLDB, Misc.</t>
  </si>
  <si>
    <t>Tennessee</t>
  </si>
  <si>
    <t>Jamaica (FOB)</t>
  </si>
  <si>
    <t>B.C. Zone 4 - Vancouver-Mark Anthony</t>
  </si>
  <si>
    <t>Washington</t>
  </si>
  <si>
    <t>Jamaica (Exworks)</t>
  </si>
  <si>
    <t>SRP</t>
  </si>
  <si>
    <t>Wisconsin</t>
  </si>
  <si>
    <t>Netherlands</t>
  </si>
  <si>
    <t>Atlantic Zone 1 - Atlantic Provinces</t>
  </si>
  <si>
    <t>*No Freight</t>
  </si>
  <si>
    <t>New Zealand</t>
  </si>
  <si>
    <t>Manitoba Zone 1 - WETT Sales Warehouse</t>
  </si>
  <si>
    <t>Poland</t>
  </si>
  <si>
    <t>Extra Cost</t>
  </si>
  <si>
    <t>Portugal (FOB,FCA)</t>
  </si>
  <si>
    <t>Portugal (Exworks)</t>
  </si>
  <si>
    <t>South Africa</t>
  </si>
  <si>
    <t>Spain (FOB, FCA)</t>
  </si>
  <si>
    <t>Spain (Exworks)</t>
  </si>
  <si>
    <t>Sweden (FOB)</t>
  </si>
  <si>
    <t>Sweden (Exworks)</t>
  </si>
  <si>
    <t>United Kingdom (FCA, FOB)</t>
  </si>
  <si>
    <t>United Kingdom (Exworks)</t>
  </si>
  <si>
    <t>Uruguay</t>
  </si>
  <si>
    <t>Commercial Consideration</t>
  </si>
  <si>
    <t>Equalization</t>
  </si>
  <si>
    <t>Calculations</t>
  </si>
  <si>
    <t>DPLC</t>
  </si>
  <si>
    <t>Australia (FCA &amp; FOB)</t>
  </si>
  <si>
    <t>Alberta Zone 1 - St. Albert/Edmonton</t>
  </si>
  <si>
    <t>B.C. Zone 5 - Hillebrand Westlink</t>
  </si>
  <si>
    <t>Type</t>
  </si>
  <si>
    <r>
      <t xml:space="preserve">Wine </t>
    </r>
    <r>
      <rPr>
        <b/>
        <sz val="10"/>
        <color theme="1"/>
        <rFont val="Calibri"/>
        <family val="2"/>
        <scheme val="minor"/>
      </rPr>
      <t>&gt;7%</t>
    </r>
  </si>
  <si>
    <r>
      <t xml:space="preserve">Wine </t>
    </r>
    <r>
      <rPr>
        <b/>
        <sz val="10"/>
        <color theme="1"/>
        <rFont val="Calibri"/>
        <family val="2"/>
        <scheme val="minor"/>
      </rPr>
      <t>1.2% - 7%</t>
    </r>
  </si>
  <si>
    <t>Malt Based Cooler</t>
  </si>
  <si>
    <t>Year, Month of PC, Update Number</t>
  </si>
  <si>
    <t>400-699 mL</t>
  </si>
  <si>
    <t>10,000-19,999 L</t>
  </si>
  <si>
    <t>100-374 mL</t>
  </si>
  <si>
    <t>375-699 mL</t>
  </si>
  <si>
    <t>700-3,999 mL</t>
  </si>
  <si>
    <t>Units per Case</t>
  </si>
  <si>
    <t>100-299 mL</t>
  </si>
  <si>
    <t>300-399 mL</t>
  </si>
  <si>
    <t>100-249 mL</t>
  </si>
  <si>
    <t>250-399 mL</t>
  </si>
  <si>
    <t>Social Reference Price (SRP)</t>
  </si>
  <si>
    <t>Description</t>
  </si>
  <si>
    <t>Trial Pricing Calculator</t>
  </si>
  <si>
    <t>One-Pour Cocktail</t>
  </si>
  <si>
    <t>Ready_to_Drink</t>
  </si>
  <si>
    <t>Certificate_of_Origin</t>
  </si>
  <si>
    <t>InternationalF</t>
  </si>
  <si>
    <t>CanadaF</t>
  </si>
  <si>
    <t>Alcohol Percent</t>
  </si>
  <si>
    <t>Freight Zone rate</t>
  </si>
  <si>
    <t>Units per package</t>
  </si>
  <si>
    <t>Container type</t>
  </si>
  <si>
    <t>Total ml size</t>
  </si>
  <si>
    <t>Total liter size</t>
  </si>
  <si>
    <t>Q03</t>
  </si>
  <si>
    <t>beer 15 pack cans</t>
  </si>
  <si>
    <t>Q04</t>
  </si>
  <si>
    <t>beer 20 pack cans</t>
  </si>
  <si>
    <t>Q05</t>
  </si>
  <si>
    <t>beer 24 pack bottles</t>
  </si>
  <si>
    <t>Q06</t>
  </si>
  <si>
    <t>beer 30 pack cans</t>
  </si>
  <si>
    <t>Q07</t>
  </si>
  <si>
    <t>beer 36 pack cans</t>
  </si>
  <si>
    <t>Q08</t>
  </si>
  <si>
    <t>beer 8 pack cans</t>
  </si>
  <si>
    <t>Q10</t>
  </si>
  <si>
    <t>refreshment bev. 50 to 400ml</t>
  </si>
  <si>
    <t>Q12</t>
  </si>
  <si>
    <t>refreshment bev. 401 to 469ml</t>
  </si>
  <si>
    <t>Q15</t>
  </si>
  <si>
    <t>refreshment bev. 470 to 659 ml</t>
  </si>
  <si>
    <t>Q17</t>
  </si>
  <si>
    <t>refreshment bev. 660 to 749ml</t>
  </si>
  <si>
    <t>Q20</t>
  </si>
  <si>
    <t>refreshment bev. 750 to 899ml</t>
  </si>
  <si>
    <t>Q27</t>
  </si>
  <si>
    <t>refreshment bev.  900 to 999ml</t>
  </si>
  <si>
    <t>Q30</t>
  </si>
  <si>
    <t>refreshment bev. 1L</t>
  </si>
  <si>
    <t>Q35</t>
  </si>
  <si>
    <t>refreshment bev. 1.14L</t>
  </si>
  <si>
    <t>Q40</t>
  </si>
  <si>
    <t>spirits 50ml</t>
  </si>
  <si>
    <t>Q50</t>
  </si>
  <si>
    <t>wine 750ml&amp;1L, sprt1.14,rb1.75</t>
  </si>
  <si>
    <t>Q60</t>
  </si>
  <si>
    <t>refreshment bev. 2L</t>
  </si>
  <si>
    <t>Q65</t>
  </si>
  <si>
    <t>refreshment bev. 3L</t>
  </si>
  <si>
    <t>Q70</t>
  </si>
  <si>
    <t>spirits 200ml, spirits 1.75L</t>
  </si>
  <si>
    <t>Q75</t>
  </si>
  <si>
    <t>spirits 375ml</t>
  </si>
  <si>
    <t>Q80</t>
  </si>
  <si>
    <t>not used at this time</t>
  </si>
  <si>
    <t>Q82</t>
  </si>
  <si>
    <t>wine 1.5L</t>
  </si>
  <si>
    <t>Q84</t>
  </si>
  <si>
    <t>wine 2L</t>
  </si>
  <si>
    <t>Q86</t>
  </si>
  <si>
    <t>wine 3L</t>
  </si>
  <si>
    <t>Q90</t>
  </si>
  <si>
    <t>wine 4L to 6L</t>
  </si>
  <si>
    <t>Q91</t>
  </si>
  <si>
    <t>wine 7L to 10L</t>
  </si>
  <si>
    <t>Q93</t>
  </si>
  <si>
    <t>wine 19.5L</t>
  </si>
  <si>
    <t>Q94</t>
  </si>
  <si>
    <t>wine 15L</t>
  </si>
  <si>
    <t>Q95</t>
  </si>
  <si>
    <t>wine 16L</t>
  </si>
  <si>
    <t>Q96</t>
  </si>
  <si>
    <t>wine 19L</t>
  </si>
  <si>
    <t>Q97</t>
  </si>
  <si>
    <t>wine 18L</t>
  </si>
  <si>
    <t>Q98</t>
  </si>
  <si>
    <t>wine 20L</t>
  </si>
  <si>
    <t>Q99</t>
  </si>
  <si>
    <t>wine 22L</t>
  </si>
  <si>
    <t>Code</t>
  </si>
  <si>
    <t>Individual Container Size</t>
  </si>
  <si>
    <t>Mark-up</t>
  </si>
  <si>
    <t>Category</t>
  </si>
  <si>
    <r>
      <t xml:space="preserve">Spirit </t>
    </r>
    <r>
      <rPr>
        <b/>
        <sz val="10"/>
        <color theme="1"/>
        <rFont val="Calibri"/>
        <family val="2"/>
        <scheme val="minor"/>
      </rPr>
      <t>&lt;7%</t>
    </r>
  </si>
  <si>
    <r>
      <t xml:space="preserve">Spirit </t>
    </r>
    <r>
      <rPr>
        <b/>
        <sz val="10"/>
        <color theme="1"/>
        <rFont val="Calibri"/>
        <family val="2"/>
        <scheme val="minor"/>
      </rPr>
      <t>&gt;7%</t>
    </r>
  </si>
  <si>
    <t>Ontario Zone 3 - Toronto/Mississauga</t>
  </si>
  <si>
    <t>Ontario Zone 4 - Windsor/Walkerville</t>
  </si>
  <si>
    <t>Beer Private</t>
  </si>
  <si>
    <t>PRIVATE DISTRIBUTION</t>
  </si>
  <si>
    <t>Gross Price to Brewer</t>
  </si>
  <si>
    <t>PRIVATE BEER PRICING</t>
  </si>
  <si>
    <t>General Pricing</t>
  </si>
  <si>
    <t>Price to Licensee</t>
  </si>
  <si>
    <t>Retail Price</t>
  </si>
  <si>
    <t>Level</t>
  </si>
  <si>
    <t xml:space="preserve">Lic/Ven </t>
  </si>
  <si>
    <t>Retail Price - Reverse Pricing</t>
  </si>
  <si>
    <t>Licensee Price - Reverse Pricing</t>
  </si>
  <si>
    <t>Licensee Price</t>
  </si>
  <si>
    <t>Private_Distribution_Beer</t>
  </si>
  <si>
    <t>Private_Distribution_RTD</t>
  </si>
  <si>
    <t>Handling Charge (Private Beer)</t>
  </si>
  <si>
    <t>Licensee Price-Beer</t>
  </si>
  <si>
    <t>Select</t>
  </si>
  <si>
    <t>After markup value</t>
  </si>
  <si>
    <t>MBLL PRICING</t>
  </si>
  <si>
    <t>Unit cost</t>
  </si>
  <si>
    <t>Exchange</t>
  </si>
  <si>
    <t>MARKUP</t>
  </si>
  <si>
    <t>Retail Minus charges</t>
  </si>
  <si>
    <t>Lic Natural Makup</t>
  </si>
  <si>
    <t>Calculation</t>
  </si>
  <si>
    <t>Mead/Other</t>
  </si>
  <si>
    <t>Refreshment Beverage/Ciders</t>
  </si>
  <si>
    <t>Beer - LIC/VEN Retail</t>
  </si>
  <si>
    <t>Beer - MBLL Retail</t>
  </si>
  <si>
    <t>Full Markup</t>
  </si>
  <si>
    <t>Natural markup</t>
  </si>
  <si>
    <t>Mark-up RTD</t>
  </si>
  <si>
    <r>
      <rPr>
        <b/>
        <sz val="14"/>
        <color theme="0"/>
        <rFont val="Calibri"/>
        <family val="2"/>
        <scheme val="minor"/>
      </rPr>
      <t xml:space="preserve">Retail Price </t>
    </r>
    <r>
      <rPr>
        <b/>
        <sz val="13"/>
        <color theme="0"/>
        <rFont val="Calibri"/>
        <family val="2"/>
        <scheme val="minor"/>
      </rPr>
      <t xml:space="preserve">                               (before taxes and deposit)</t>
    </r>
  </si>
  <si>
    <t>Base Unit Price</t>
  </si>
  <si>
    <t>Standard Freight rate/Liter</t>
  </si>
  <si>
    <t>Customs Duty</t>
  </si>
  <si>
    <t>Excise Duty</t>
  </si>
  <si>
    <t>Per Package Surcharge</t>
  </si>
  <si>
    <t>Equalization Charge</t>
  </si>
  <si>
    <t>CALCULATIONS - MBLL</t>
  </si>
  <si>
    <t>CALCULATIONS - PRIVATE</t>
  </si>
  <si>
    <t>TOTAL</t>
  </si>
  <si>
    <t>Beer Extra</t>
  </si>
  <si>
    <t>Please select if MBLL Distribution or PRIVATE Distribution</t>
  </si>
  <si>
    <t>Lic Natural Markup</t>
  </si>
  <si>
    <t>Mark-up Licensee</t>
  </si>
  <si>
    <t>Minimum Mark-up</t>
  </si>
  <si>
    <t>SUM (GIFT PACK)</t>
  </si>
  <si>
    <t>MBLL PARTNERS.CA/LIQUOR-AGENTS-SUPPLIERS</t>
  </si>
  <si>
    <t>*Please refer to the Pricing Information Manual for additional info.</t>
  </si>
  <si>
    <t>&lt;60 mL</t>
  </si>
  <si>
    <t>60-99 mL</t>
  </si>
  <si>
    <t>One Pour</t>
  </si>
  <si>
    <t>Minimum Micro Surchage</t>
  </si>
  <si>
    <t>RTD</t>
  </si>
  <si>
    <t>Beer (Private Distribution)</t>
  </si>
  <si>
    <t>Beer (MBLL Distribution)</t>
  </si>
  <si>
    <t>Beer MBLL</t>
  </si>
  <si>
    <t>Micro Markup Rate</t>
  </si>
  <si>
    <t>RTD - NGS/Bulk Spirits</t>
  </si>
  <si>
    <t>**Please select below for desired pricing**</t>
  </si>
  <si>
    <t>Ready_to_Drink_Private</t>
  </si>
  <si>
    <t>Lic Min Markup</t>
  </si>
  <si>
    <t>Licensee Markup</t>
  </si>
  <si>
    <t>Currency_MBLL</t>
  </si>
  <si>
    <t>Currency_Private</t>
  </si>
  <si>
    <t>Effective September 1, 2025</t>
  </si>
  <si>
    <t>Effective NOVEMBER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</si>
</sst>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"/>
    <numFmt numFmtId="167" formatCode="&quot;$&quot;#,##0.00"/>
    <numFmt numFmtId="168" formatCode="#,##0.0000"/>
    <numFmt numFmtId="169" formatCode="&quot;$&quot;#,##0.0000;\-&quot;$&quot;#,##0.0000"/>
    <numFmt numFmtId="170" formatCode="0.000"/>
    <numFmt numFmtId="171" formatCode="0.000000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56"/>
      <name val="Cambria"/>
      <family val="2"/>
      <scheme val="maj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7"/>
      <color rgb="FF00206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25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3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sz val="13"/>
      <color theme="0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b/>
      <sz val="13"/>
      <color theme="7" tint="-0.499984740745262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8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FF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6EDF6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7FF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CCFFFF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/>
      <top/>
      <bottom style="medium">
        <color theme="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</borders>
  <cellStyleXfs count="821">
    <xf numFmtId="0" fontId="0" fillId="0" borderId="0"/>
    <xf numFmtId="0" fontId="5" fillId="0" borderId="0"/>
    <xf numFmtId="0" fontId="5" fillId="0" borderId="0"/>
    <xf numFmtId="0" fontId="1" fillId="0" borderId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9" borderId="28" applyNumberFormat="0" applyAlignment="0" applyProtection="0"/>
    <xf numFmtId="0" fontId="23" fillId="10" borderId="29" applyNumberFormat="0" applyAlignment="0" applyProtection="0"/>
    <xf numFmtId="0" fontId="24" fillId="10" borderId="28" applyNumberFormat="0" applyAlignment="0" applyProtection="0"/>
    <xf numFmtId="0" fontId="25" fillId="0" borderId="30" applyNumberFormat="0" applyFill="0" applyAlignment="0" applyProtection="0"/>
    <xf numFmtId="0" fontId="2" fillId="11" borderId="3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1" fillId="0" borderId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45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46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43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47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28" fillId="48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5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5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47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5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8" borderId="0" applyNumberFormat="0" applyBorder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24" fillId="10" borderId="28" applyNumberFormat="0" applyAlignment="0" applyProtection="0"/>
    <xf numFmtId="0" fontId="33" fillId="41" borderId="28" applyNumberFormat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39" borderId="0" applyNumberFormat="0" applyBorder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17" fillId="0" borderId="25" applyNumberFormat="0" applyFill="0" applyAlignment="0" applyProtection="0"/>
    <xf numFmtId="0" fontId="34" fillId="0" borderId="34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35" fillId="0" borderId="35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19" fillId="0" borderId="27" applyNumberFormat="0" applyFill="0" applyAlignment="0" applyProtection="0"/>
    <xf numFmtId="0" fontId="36" fillId="0" borderId="3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9" borderId="28" applyNumberFormat="0" applyAlignment="0" applyProtection="0"/>
    <xf numFmtId="0" fontId="22" fillId="41" borderId="28" applyNumberFormat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25" fillId="0" borderId="30" applyNumberFormat="0" applyFill="0" applyAlignment="0" applyProtection="0"/>
    <xf numFmtId="0" fontId="37" fillId="0" borderId="37" applyNumberFormat="0" applyFill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8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9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39" fillId="12" borderId="32" applyNumberFormat="0" applyFont="0" applyAlignment="0" applyProtection="0"/>
    <xf numFmtId="0" fontId="39" fillId="12" borderId="32" applyNumberFormat="0" applyFon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10" borderId="29" applyNumberFormat="0" applyAlignment="0" applyProtection="0"/>
    <xf numFmtId="0" fontId="23" fillId="41" borderId="29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3" applyNumberFormat="0" applyFill="0" applyAlignment="0" applyProtection="0"/>
    <xf numFmtId="0" fontId="3" fillId="0" borderId="38" applyNumberFormat="0" applyFill="0" applyAlignment="0" applyProtection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30" fillId="0" borderId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32" fillId="8" borderId="0" applyNumberFormat="0" applyBorder="0" applyAlignment="0" applyProtection="0"/>
    <xf numFmtId="0" fontId="22" fillId="9" borderId="28" applyNumberFormat="0" applyAlignment="0" applyProtection="0"/>
    <xf numFmtId="0" fontId="23" fillId="10" borderId="29" applyNumberFormat="0" applyAlignment="0" applyProtection="0"/>
    <xf numFmtId="0" fontId="24" fillId="10" borderId="28" applyNumberFormat="0" applyAlignment="0" applyProtection="0"/>
    <xf numFmtId="0" fontId="25" fillId="0" borderId="30" applyNumberFormat="0" applyFill="0" applyAlignment="0" applyProtection="0"/>
    <xf numFmtId="0" fontId="2" fillId="11" borderId="31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2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8" fillId="36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30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1" fillId="0" borderId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9" fontId="2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0" fontId="1" fillId="12" borderId="32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6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8" fillId="0" borderId="16" xfId="0" applyFont="1" applyBorder="1" applyProtection="1"/>
    <xf numFmtId="0" fontId="8" fillId="0" borderId="0" xfId="0" applyFont="1" applyBorder="1" applyProtection="1"/>
    <xf numFmtId="0" fontId="8" fillId="0" borderId="17" xfId="0" applyFont="1" applyBorder="1" applyProtection="1"/>
    <xf numFmtId="0" fontId="8" fillId="0" borderId="18" xfId="0" applyFont="1" applyBorder="1" applyProtection="1"/>
    <xf numFmtId="0" fontId="8" fillId="0" borderId="19" xfId="0" applyFont="1" applyBorder="1" applyProtection="1"/>
    <xf numFmtId="0" fontId="8" fillId="0" borderId="0" xfId="0" applyFont="1" applyProtection="1"/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Protection="1"/>
    <xf numFmtId="0" fontId="8" fillId="0" borderId="21" xfId="0" applyFont="1" applyBorder="1" applyProtection="1"/>
    <xf numFmtId="0" fontId="8" fillId="3" borderId="16" xfId="0" applyFont="1" applyFill="1" applyBorder="1" applyProtection="1"/>
    <xf numFmtId="0" fontId="8" fillId="3" borderId="0" xfId="0" applyFont="1" applyFill="1" applyBorder="1" applyProtection="1"/>
    <xf numFmtId="0" fontId="8" fillId="3" borderId="17" xfId="0" applyFont="1" applyFill="1" applyBorder="1" applyProtection="1"/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horizontal="right" vertical="center"/>
    </xf>
    <xf numFmtId="0" fontId="8" fillId="0" borderId="20" xfId="0" applyNumberFormat="1" applyFont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14" fillId="3" borderId="16" xfId="0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4" fillId="3" borderId="17" xfId="0" applyFont="1" applyFill="1" applyBorder="1" applyAlignment="1" applyProtection="1">
      <alignment horizontal="left"/>
    </xf>
    <xf numFmtId="0" fontId="8" fillId="0" borderId="16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0" borderId="17" xfId="0" applyFont="1" applyBorder="1" applyAlignment="1" applyProtection="1">
      <alignment horizontal="left"/>
    </xf>
    <xf numFmtId="0" fontId="8" fillId="4" borderId="22" xfId="0" applyFont="1" applyFill="1" applyBorder="1" applyProtection="1"/>
    <xf numFmtId="0" fontId="8" fillId="4" borderId="22" xfId="0" applyFont="1" applyFill="1" applyBorder="1" applyAlignment="1" applyProtection="1">
      <alignment horizontal="right" vertical="center"/>
    </xf>
    <xf numFmtId="0" fontId="8" fillId="4" borderId="22" xfId="0" applyFont="1" applyFill="1" applyBorder="1" applyAlignment="1" applyProtection="1">
      <alignment horizontal="right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Protection="1"/>
    <xf numFmtId="0" fontId="8" fillId="3" borderId="16" xfId="0" applyFont="1" applyFill="1" applyBorder="1" applyProtection="1"/>
    <xf numFmtId="0" fontId="8" fillId="3" borderId="0" xfId="0" applyFont="1" applyFill="1" applyBorder="1" applyProtection="1"/>
    <xf numFmtId="0" fontId="8" fillId="3" borderId="17" xfId="0" applyFont="1" applyFill="1" applyBorder="1" applyProtection="1"/>
    <xf numFmtId="0" fontId="8" fillId="0" borderId="11" xfId="0" applyFont="1" applyBorder="1" applyProtection="1"/>
    <xf numFmtId="0" fontId="8" fillId="0" borderId="21" xfId="0" applyFont="1" applyBorder="1" applyAlignment="1" applyProtection="1">
      <alignment horizontal="right" vertical="center"/>
    </xf>
    <xf numFmtId="0" fontId="0" fillId="0" borderId="11" xfId="0" applyBorder="1"/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8" fillId="0" borderId="24" xfId="0" applyFont="1" applyBorder="1" applyProtection="1"/>
    <xf numFmtId="0" fontId="8" fillId="5" borderId="16" xfId="0" applyFont="1" applyFill="1" applyBorder="1" applyProtection="1"/>
    <xf numFmtId="0" fontId="8" fillId="0" borderId="19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0" fontId="8" fillId="0" borderId="20" xfId="0" applyFont="1" applyFill="1" applyBorder="1" applyProtection="1"/>
    <xf numFmtId="2" fontId="8" fillId="0" borderId="0" xfId="0" applyNumberFormat="1" applyFont="1" applyBorder="1" applyProtection="1"/>
    <xf numFmtId="2" fontId="8" fillId="0" borderId="17" xfId="0" applyNumberFormat="1" applyFont="1" applyBorder="1"/>
    <xf numFmtId="166" fontId="0" fillId="0" borderId="0" xfId="0" applyNumberFormat="1"/>
    <xf numFmtId="0" fontId="8" fillId="0" borderId="16" xfId="0" applyFont="1" applyBorder="1"/>
    <xf numFmtId="0" fontId="28" fillId="54" borderId="16" xfId="0" applyFont="1" applyFill="1" applyBorder="1" applyAlignment="1" applyProtection="1">
      <alignment horizontal="center"/>
    </xf>
    <xf numFmtId="0" fontId="28" fillId="54" borderId="17" xfId="0" applyFont="1" applyFill="1" applyBorder="1" applyAlignment="1" applyProtection="1">
      <alignment horizontal="center"/>
    </xf>
    <xf numFmtId="0" fontId="41" fillId="54" borderId="16" xfId="0" applyFont="1" applyFill="1" applyBorder="1" applyAlignment="1" applyProtection="1">
      <alignment horizontal="center"/>
    </xf>
    <xf numFmtId="0" fontId="41" fillId="54" borderId="17" xfId="0" applyFont="1" applyFill="1" applyBorder="1" applyAlignment="1" applyProtection="1">
      <alignment horizontal="center"/>
    </xf>
    <xf numFmtId="0" fontId="42" fillId="54" borderId="16" xfId="0" applyFont="1" applyFill="1" applyBorder="1" applyAlignment="1" applyProtection="1">
      <alignment horizontal="center"/>
    </xf>
    <xf numFmtId="0" fontId="42" fillId="54" borderId="0" xfId="0" applyFont="1" applyFill="1" applyBorder="1" applyAlignment="1" applyProtection="1">
      <alignment horizontal="center"/>
    </xf>
    <xf numFmtId="0" fontId="42" fillId="54" borderId="17" xfId="0" applyFont="1" applyFill="1" applyBorder="1" applyAlignment="1" applyProtection="1">
      <alignment horizontal="center"/>
    </xf>
    <xf numFmtId="0" fontId="13" fillId="56" borderId="16" xfId="0" applyFont="1" applyFill="1" applyBorder="1" applyAlignment="1" applyProtection="1">
      <alignment horizontal="center" wrapText="1"/>
    </xf>
    <xf numFmtId="0" fontId="13" fillId="56" borderId="17" xfId="0" applyFont="1" applyFill="1" applyBorder="1" applyAlignment="1" applyProtection="1">
      <alignment horizontal="center" wrapText="1"/>
    </xf>
    <xf numFmtId="0" fontId="13" fillId="56" borderId="0" xfId="0" applyFont="1" applyFill="1" applyBorder="1" applyAlignment="1" applyProtection="1">
      <alignment horizontal="center" wrapText="1"/>
    </xf>
    <xf numFmtId="0" fontId="13" fillId="56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8" fillId="0" borderId="46" xfId="0" applyFont="1" applyBorder="1" applyProtection="1"/>
    <xf numFmtId="0" fontId="28" fillId="54" borderId="54" xfId="0" applyFont="1" applyFill="1" applyBorder="1" applyAlignment="1" applyProtection="1"/>
    <xf numFmtId="0" fontId="41" fillId="54" borderId="55" xfId="0" applyFont="1" applyFill="1" applyBorder="1" applyAlignment="1" applyProtection="1"/>
    <xf numFmtId="0" fontId="41" fillId="54" borderId="54" xfId="0" applyFont="1" applyFill="1" applyBorder="1" applyAlignment="1" applyProtection="1"/>
    <xf numFmtId="0" fontId="28" fillId="54" borderId="55" xfId="0" applyFont="1" applyFill="1" applyBorder="1" applyAlignment="1" applyProtection="1"/>
    <xf numFmtId="0" fontId="42" fillId="54" borderId="55" xfId="0" applyFont="1" applyFill="1" applyBorder="1" applyAlignment="1" applyProtection="1"/>
    <xf numFmtId="0" fontId="42" fillId="54" borderId="52" xfId="0" applyFont="1" applyFill="1" applyBorder="1" applyAlignment="1" applyProtection="1"/>
    <xf numFmtId="0" fontId="42" fillId="54" borderId="54" xfId="0" applyFont="1" applyFill="1" applyBorder="1" applyAlignment="1" applyProtection="1"/>
    <xf numFmtId="0" fontId="28" fillId="54" borderId="56" xfId="0" applyFont="1" applyFill="1" applyBorder="1" applyAlignment="1" applyProtection="1"/>
    <xf numFmtId="0" fontId="8" fillId="0" borderId="47" xfId="0" applyFont="1" applyBorder="1" applyProtection="1"/>
    <xf numFmtId="0" fontId="28" fillId="54" borderId="48" xfId="0" applyFont="1" applyFill="1" applyBorder="1" applyAlignment="1" applyProtection="1">
      <alignment horizontal="center"/>
    </xf>
    <xf numFmtId="0" fontId="13" fillId="56" borderId="48" xfId="0" applyFont="1" applyFill="1" applyBorder="1" applyAlignment="1" applyProtection="1">
      <alignment horizontal="center" wrapText="1"/>
    </xf>
    <xf numFmtId="0" fontId="8" fillId="0" borderId="0" xfId="0" applyFont="1" applyBorder="1"/>
    <xf numFmtId="2" fontId="8" fillId="0" borderId="0" xfId="0" applyNumberFormat="1" applyFont="1" applyBorder="1"/>
    <xf numFmtId="0" fontId="8" fillId="0" borderId="48" xfId="0" applyFont="1" applyBorder="1" applyProtection="1"/>
    <xf numFmtId="0" fontId="8" fillId="0" borderId="49" xfId="0" applyFont="1" applyBorder="1" applyProtection="1"/>
    <xf numFmtId="0" fontId="8" fillId="0" borderId="50" xfId="0" applyFont="1" applyBorder="1" applyProtection="1"/>
    <xf numFmtId="0" fontId="8" fillId="0" borderId="57" xfId="0" applyFont="1" applyBorder="1" applyProtection="1"/>
    <xf numFmtId="0" fontId="8" fillId="0" borderId="58" xfId="0" applyFont="1" applyBorder="1" applyProtection="1"/>
    <xf numFmtId="0" fontId="8" fillId="0" borderId="59" xfId="0" applyFont="1" applyBorder="1" applyProtection="1"/>
    <xf numFmtId="0" fontId="8" fillId="0" borderId="60" xfId="0" applyFont="1" applyBorder="1" applyProtection="1"/>
    <xf numFmtId="2" fontId="8" fillId="0" borderId="50" xfId="0" applyNumberFormat="1" applyFont="1" applyBorder="1" applyProtection="1"/>
    <xf numFmtId="0" fontId="8" fillId="0" borderId="50" xfId="0" applyFont="1" applyBorder="1"/>
    <xf numFmtId="2" fontId="8" fillId="0" borderId="58" xfId="0" applyNumberFormat="1" applyFont="1" applyBorder="1"/>
    <xf numFmtId="0" fontId="8" fillId="0" borderId="51" xfId="0" applyFont="1" applyBorder="1" applyProtection="1"/>
    <xf numFmtId="0" fontId="13" fillId="54" borderId="53" xfId="0" applyFont="1" applyFill="1" applyBorder="1" applyAlignment="1" applyProtection="1">
      <alignment vertical="center" wrapText="1"/>
    </xf>
    <xf numFmtId="0" fontId="47" fillId="3" borderId="47" xfId="0" applyFont="1" applyFill="1" applyBorder="1" applyProtection="1"/>
    <xf numFmtId="0" fontId="47" fillId="3" borderId="0" xfId="0" applyFont="1" applyFill="1" applyBorder="1" applyProtection="1"/>
    <xf numFmtId="0" fontId="47" fillId="3" borderId="46" xfId="0" applyFont="1" applyFill="1" applyBorder="1" applyProtection="1"/>
    <xf numFmtId="0" fontId="13" fillId="54" borderId="16" xfId="0" applyFont="1" applyFill="1" applyBorder="1"/>
    <xf numFmtId="0" fontId="13" fillId="54" borderId="0" xfId="0" applyFont="1" applyFill="1"/>
    <xf numFmtId="0" fontId="13" fillId="54" borderId="17" xfId="0" applyFont="1" applyFill="1" applyBorder="1"/>
    <xf numFmtId="0" fontId="8" fillId="0" borderId="11" xfId="0" applyFont="1" applyBorder="1"/>
    <xf numFmtId="0" fontId="44" fillId="56" borderId="0" xfId="0" applyFont="1" applyFill="1" applyBorder="1" applyAlignment="1">
      <alignment horizontal="center"/>
    </xf>
    <xf numFmtId="0" fontId="13" fillId="54" borderId="0" xfId="0" applyFont="1" applyFill="1" applyBorder="1"/>
    <xf numFmtId="0" fontId="0" fillId="0" borderId="0" xfId="0" applyBorder="1"/>
    <xf numFmtId="0" fontId="43" fillId="56" borderId="17" xfId="0" applyFont="1" applyFill="1" applyBorder="1" applyAlignment="1" applyProtection="1">
      <alignment horizontal="center"/>
    </xf>
    <xf numFmtId="0" fontId="43" fillId="56" borderId="16" xfId="0" applyFont="1" applyFill="1" applyBorder="1" applyAlignment="1" applyProtection="1">
      <alignment horizontal="center" wrapText="1"/>
    </xf>
    <xf numFmtId="0" fontId="12" fillId="0" borderId="16" xfId="0" applyFont="1" applyBorder="1" applyProtection="1"/>
    <xf numFmtId="0" fontId="53" fillId="0" borderId="0" xfId="0" applyFont="1"/>
    <xf numFmtId="0" fontId="8" fillId="5" borderId="0" xfId="0" applyFont="1" applyFill="1" applyBorder="1" applyProtection="1"/>
    <xf numFmtId="0" fontId="0" fillId="0" borderId="64" xfId="0" applyBorder="1"/>
    <xf numFmtId="0" fontId="13" fillId="56" borderId="48" xfId="0" applyFont="1" applyFill="1" applyBorder="1" applyAlignment="1" applyProtection="1">
      <alignment horizontal="center"/>
    </xf>
    <xf numFmtId="166" fontId="0" fillId="0" borderId="11" xfId="0" applyNumberFormat="1" applyBorder="1"/>
    <xf numFmtId="0" fontId="0" fillId="0" borderId="0" xfId="0" applyNumberFormat="1"/>
    <xf numFmtId="0" fontId="0" fillId="0" borderId="11" xfId="0" applyBorder="1" applyAlignment="1">
      <alignment horizontal="right"/>
    </xf>
    <xf numFmtId="0" fontId="3" fillId="66" borderId="42" xfId="0" applyFont="1" applyFill="1" applyBorder="1"/>
    <xf numFmtId="166" fontId="3" fillId="66" borderId="22" xfId="0" applyNumberFormat="1" applyFont="1" applyFill="1" applyBorder="1"/>
    <xf numFmtId="0" fontId="0" fillId="62" borderId="42" xfId="0" applyFill="1" applyBorder="1"/>
    <xf numFmtId="166" fontId="0" fillId="62" borderId="22" xfId="0" applyNumberFormat="1" applyFill="1" applyBorder="1"/>
    <xf numFmtId="0" fontId="0" fillId="65" borderId="13" xfId="0" applyFill="1" applyBorder="1"/>
    <xf numFmtId="0" fontId="0" fillId="65" borderId="16" xfId="0" applyFill="1" applyBorder="1"/>
    <xf numFmtId="0" fontId="0" fillId="65" borderId="17" xfId="0" applyFill="1" applyBorder="1"/>
    <xf numFmtId="0" fontId="0" fillId="65" borderId="17" xfId="0" applyFill="1" applyBorder="1" applyAlignment="1">
      <alignment horizontal="right"/>
    </xf>
    <xf numFmtId="0" fontId="0" fillId="65" borderId="19" xfId="0" applyFill="1" applyBorder="1"/>
    <xf numFmtId="0" fontId="0" fillId="65" borderId="21" xfId="0" applyFill="1" applyBorder="1"/>
    <xf numFmtId="0" fontId="8" fillId="4" borderId="22" xfId="0" applyNumberFormat="1" applyFont="1" applyFill="1" applyBorder="1" applyAlignment="1" applyProtection="1">
      <alignment horizontal="right"/>
    </xf>
    <xf numFmtId="0" fontId="0" fillId="60" borderId="0" xfId="0" applyFill="1" applyProtection="1">
      <protection hidden="1"/>
    </xf>
    <xf numFmtId="0" fontId="0" fillId="0" borderId="0" xfId="0" applyProtection="1">
      <protection hidden="1"/>
    </xf>
    <xf numFmtId="0" fontId="45" fillId="60" borderId="0" xfId="0" applyFont="1" applyFill="1" applyProtection="1">
      <protection hidden="1"/>
    </xf>
    <xf numFmtId="0" fontId="9" fillId="60" borderId="0" xfId="0" applyFont="1" applyFill="1" applyProtection="1">
      <protection hidden="1"/>
    </xf>
    <xf numFmtId="0" fontId="0" fillId="61" borderId="6" xfId="0" applyFill="1" applyBorder="1" applyProtection="1">
      <protection hidden="1"/>
    </xf>
    <xf numFmtId="0" fontId="45" fillId="61" borderId="61" xfId="0" applyFont="1" applyFill="1" applyBorder="1" applyProtection="1">
      <protection hidden="1"/>
    </xf>
    <xf numFmtId="0" fontId="9" fillId="61" borderId="61" xfId="0" applyFont="1" applyFill="1" applyBorder="1" applyProtection="1">
      <protection hidden="1"/>
    </xf>
    <xf numFmtId="0" fontId="0" fillId="61" borderId="61" xfId="0" applyFill="1" applyBorder="1" applyProtection="1">
      <protection hidden="1"/>
    </xf>
    <xf numFmtId="0" fontId="0" fillId="61" borderId="39" xfId="0" applyFill="1" applyBorder="1" applyProtection="1">
      <protection hidden="1"/>
    </xf>
    <xf numFmtId="0" fontId="0" fillId="61" borderId="8" xfId="0" applyFill="1" applyBorder="1" applyProtection="1">
      <protection hidden="1"/>
    </xf>
    <xf numFmtId="0" fontId="0" fillId="61" borderId="40" xfId="0" applyFill="1" applyBorder="1" applyProtection="1">
      <protection hidden="1"/>
    </xf>
    <xf numFmtId="0" fontId="0" fillId="61" borderId="0" xfId="0" applyFill="1" applyBorder="1" applyProtection="1">
      <protection hidden="1"/>
    </xf>
    <xf numFmtId="0" fontId="0" fillId="61" borderId="10" xfId="0" applyFill="1" applyBorder="1" applyProtection="1">
      <protection hidden="1"/>
    </xf>
    <xf numFmtId="0" fontId="0" fillId="61" borderId="45" xfId="0" applyFill="1" applyBorder="1" applyProtection="1">
      <protection hidden="1"/>
    </xf>
    <xf numFmtId="0" fontId="0" fillId="61" borderId="63" xfId="0" applyFill="1" applyBorder="1" applyProtection="1">
      <protection hidden="1"/>
    </xf>
    <xf numFmtId="0" fontId="0" fillId="61" borderId="41" xfId="0" applyFill="1" applyBorder="1" applyProtection="1">
      <protection hidden="1"/>
    </xf>
    <xf numFmtId="0" fontId="0" fillId="61" borderId="0" xfId="0" applyFill="1" applyProtection="1">
      <protection hidden="1"/>
    </xf>
    <xf numFmtId="0" fontId="0" fillId="61" borderId="62" xfId="0" applyFill="1" applyBorder="1" applyProtection="1">
      <protection hidden="1"/>
    </xf>
    <xf numFmtId="0" fontId="0" fillId="63" borderId="0" xfId="0" applyFill="1" applyProtection="1">
      <protection hidden="1"/>
    </xf>
    <xf numFmtId="0" fontId="14" fillId="3" borderId="13" xfId="0" applyFont="1" applyFill="1" applyBorder="1" applyAlignment="1" applyProtection="1">
      <alignment horizontal="center"/>
    </xf>
    <xf numFmtId="0" fontId="14" fillId="3" borderId="14" xfId="0" applyFont="1" applyFill="1" applyBorder="1" applyAlignment="1" applyProtection="1">
      <alignment horizontal="center"/>
    </xf>
    <xf numFmtId="0" fontId="14" fillId="3" borderId="15" xfId="0" applyFont="1" applyFill="1" applyBorder="1" applyAlignment="1" applyProtection="1">
      <alignment horizontal="center"/>
    </xf>
    <xf numFmtId="0" fontId="14" fillId="3" borderId="65" xfId="0" applyFont="1" applyFill="1" applyBorder="1" applyAlignment="1" applyProtection="1">
      <alignment horizontal="center"/>
    </xf>
    <xf numFmtId="0" fontId="15" fillId="0" borderId="18" xfId="0" applyFont="1" applyFill="1" applyBorder="1" applyProtection="1"/>
    <xf numFmtId="0" fontId="16" fillId="0" borderId="18" xfId="0" applyFont="1" applyBorder="1" applyAlignment="1" applyProtection="1">
      <alignment horizontal="left"/>
    </xf>
    <xf numFmtId="0" fontId="15" fillId="0" borderId="18" xfId="0" applyFont="1" applyBorder="1" applyProtection="1"/>
    <xf numFmtId="0" fontId="16" fillId="0" borderId="66" xfId="0" applyFont="1" applyBorder="1" applyAlignment="1" applyProtection="1">
      <alignment horizontal="left"/>
    </xf>
    <xf numFmtId="0" fontId="11" fillId="61" borderId="0" xfId="0" applyFont="1" applyFill="1" applyBorder="1" applyAlignment="1" applyProtection="1">
      <alignment horizontal="center" vertical="center" wrapText="1"/>
      <protection hidden="1"/>
    </xf>
    <xf numFmtId="0" fontId="61" fillId="0" borderId="0" xfId="0" applyFont="1"/>
    <xf numFmtId="0" fontId="0" fillId="0" borderId="22" xfId="0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0" fontId="3" fillId="68" borderId="22" xfId="0" applyFont="1" applyFill="1" applyBorder="1"/>
    <xf numFmtId="0" fontId="3" fillId="0" borderId="11" xfId="0" applyFont="1" applyBorder="1"/>
    <xf numFmtId="0" fontId="12" fillId="0" borderId="0" xfId="0" applyFont="1" applyBorder="1" applyProtection="1"/>
    <xf numFmtId="0" fontId="61" fillId="0" borderId="42" xfId="0" applyFont="1" applyBorder="1" applyAlignment="1"/>
    <xf numFmtId="0" fontId="61" fillId="0" borderId="43" xfId="0" applyFont="1" applyBorder="1" applyAlignment="1"/>
    <xf numFmtId="0" fontId="61" fillId="0" borderId="44" xfId="0" applyFont="1" applyBorder="1" applyAlignment="1"/>
    <xf numFmtId="0" fontId="61" fillId="0" borderId="0" xfId="0" applyFont="1" applyBorder="1" applyAlignment="1"/>
    <xf numFmtId="0" fontId="3" fillId="55" borderId="0" xfId="0" applyFont="1" applyFill="1" applyBorder="1"/>
    <xf numFmtId="0" fontId="0" fillId="55" borderId="66" xfId="0" applyFill="1" applyBorder="1"/>
    <xf numFmtId="0" fontId="12" fillId="0" borderId="46" xfId="0" applyFont="1" applyBorder="1" applyProtection="1"/>
    <xf numFmtId="167" fontId="62" fillId="70" borderId="4" xfId="0" applyNumberFormat="1" applyFont="1" applyFill="1" applyBorder="1" applyAlignment="1" applyProtection="1">
      <alignment horizontal="center" vertical="center"/>
      <protection hidden="1"/>
    </xf>
    <xf numFmtId="167" fontId="46" fillId="69" borderId="4" xfId="0" applyNumberFormat="1" applyFont="1" applyFill="1" applyBorder="1" applyAlignment="1" applyProtection="1">
      <alignment horizontal="center" vertical="center"/>
      <protection hidden="1"/>
    </xf>
    <xf numFmtId="167" fontId="59" fillId="61" borderId="0" xfId="0" applyNumberFormat="1" applyFont="1" applyFill="1" applyBorder="1" applyAlignment="1" applyProtection="1">
      <alignment vertical="center"/>
      <protection hidden="1"/>
    </xf>
    <xf numFmtId="167" fontId="63" fillId="61" borderId="0" xfId="0" applyNumberFormat="1" applyFont="1" applyFill="1" applyBorder="1" applyAlignment="1" applyProtection="1">
      <alignment horizontal="center" vertical="center"/>
      <protection hidden="1"/>
    </xf>
    <xf numFmtId="2" fontId="0" fillId="62" borderId="22" xfId="0" applyNumberFormat="1" applyFill="1" applyBorder="1" applyAlignment="1">
      <alignment horizontal="center"/>
    </xf>
    <xf numFmtId="0" fontId="26" fillId="55" borderId="0" xfId="0" applyFont="1" applyFill="1"/>
    <xf numFmtId="2" fontId="0" fillId="72" borderId="22" xfId="0" applyNumberFormat="1" applyFill="1" applyBorder="1" applyAlignment="1">
      <alignment horizontal="center"/>
    </xf>
    <xf numFmtId="0" fontId="0" fillId="72" borderId="22" xfId="0" applyFill="1" applyBorder="1" applyAlignment="1">
      <alignment horizontal="center"/>
    </xf>
    <xf numFmtId="166" fontId="0" fillId="71" borderId="22" xfId="0" applyNumberFormat="1" applyFill="1" applyBorder="1" applyAlignment="1">
      <alignment horizontal="center"/>
    </xf>
    <xf numFmtId="0" fontId="0" fillId="71" borderId="22" xfId="0" applyFill="1" applyBorder="1" applyAlignment="1">
      <alignment horizontal="center"/>
    </xf>
    <xf numFmtId="0" fontId="10" fillId="61" borderId="0" xfId="0" applyFont="1" applyFill="1" applyBorder="1" applyAlignment="1" applyProtection="1">
      <alignment horizontal="center" vertical="center"/>
      <protection hidden="1"/>
    </xf>
    <xf numFmtId="2" fontId="0" fillId="65" borderId="15" xfId="0" applyNumberFormat="1" applyFill="1" applyBorder="1" applyAlignment="1">
      <alignment horizontal="right"/>
    </xf>
    <xf numFmtId="0" fontId="0" fillId="0" borderId="43" xfId="0" applyBorder="1"/>
    <xf numFmtId="0" fontId="0" fillId="0" borderId="44" xfId="0" applyBorder="1"/>
    <xf numFmtId="0" fontId="0" fillId="0" borderId="15" xfId="0" applyBorder="1"/>
    <xf numFmtId="0" fontId="61" fillId="0" borderId="13" xfId="0" applyFont="1" applyBorder="1"/>
    <xf numFmtId="0" fontId="0" fillId="0" borderId="14" xfId="0" applyBorder="1"/>
    <xf numFmtId="0" fontId="61" fillId="0" borderId="19" xfId="0" applyFont="1" applyBorder="1" applyAlignment="1"/>
    <xf numFmtId="0" fontId="61" fillId="0" borderId="20" xfId="0" applyFont="1" applyBorder="1" applyAlignment="1"/>
    <xf numFmtId="0" fontId="61" fillId="0" borderId="21" xfId="0" applyFont="1" applyBorder="1" applyAlignment="1"/>
    <xf numFmtId="0" fontId="64" fillId="73" borderId="0" xfId="0" applyFont="1" applyFill="1"/>
    <xf numFmtId="0" fontId="65" fillId="0" borderId="0" xfId="0" applyFont="1"/>
    <xf numFmtId="0" fontId="66" fillId="0" borderId="16" xfId="0" applyFont="1" applyBorder="1" applyAlignment="1">
      <alignment horizontal="right"/>
    </xf>
    <xf numFmtId="0" fontId="65" fillId="0" borderId="16" xfId="0" applyFont="1" applyBorder="1"/>
    <xf numFmtId="0" fontId="65" fillId="0" borderId="16" xfId="0" applyFont="1" applyBorder="1" applyAlignment="1">
      <alignment horizontal="right"/>
    </xf>
    <xf numFmtId="1" fontId="65" fillId="0" borderId="0" xfId="818" applyNumberFormat="1" applyFont="1" applyFill="1" applyBorder="1" applyAlignment="1">
      <alignment horizontal="right"/>
    </xf>
    <xf numFmtId="166" fontId="65" fillId="0" borderId="0" xfId="818" applyNumberFormat="1" applyFont="1" applyFill="1" applyBorder="1" applyAlignment="1">
      <alignment horizontal="right"/>
    </xf>
    <xf numFmtId="0" fontId="65" fillId="0" borderId="19" xfId="0" applyFont="1" applyBorder="1"/>
    <xf numFmtId="1" fontId="65" fillId="0" borderId="20" xfId="818" applyNumberFormat="1" applyFont="1" applyFill="1" applyBorder="1" applyAlignment="1">
      <alignment horizontal="right"/>
    </xf>
    <xf numFmtId="1" fontId="65" fillId="0" borderId="0" xfId="819" applyNumberFormat="1" applyFont="1" applyFill="1" applyBorder="1" applyAlignment="1">
      <alignment horizontal="right"/>
    </xf>
    <xf numFmtId="1" fontId="65" fillId="0" borderId="20" xfId="819" applyNumberFormat="1" applyFont="1" applyFill="1" applyBorder="1" applyAlignment="1">
      <alignment horizontal="right"/>
    </xf>
    <xf numFmtId="166" fontId="0" fillId="62" borderId="22" xfId="0" applyNumberFormat="1" applyFill="1" applyBorder="1" applyAlignment="1">
      <alignment horizontal="center"/>
    </xf>
    <xf numFmtId="170" fontId="0" fillId="0" borderId="22" xfId="0" applyNumberFormat="1" applyBorder="1" applyAlignment="1">
      <alignment horizontal="center"/>
    </xf>
    <xf numFmtId="166" fontId="8" fillId="0" borderId="22" xfId="0" applyNumberFormat="1" applyFont="1" applyBorder="1" applyAlignment="1" applyProtection="1">
      <alignment horizontal="center"/>
    </xf>
    <xf numFmtId="167" fontId="69" fillId="61" borderId="0" xfId="0" applyNumberFormat="1" applyFont="1" applyFill="1" applyBorder="1" applyAlignment="1" applyProtection="1">
      <alignment horizontal="center" vertical="center"/>
      <protection hidden="1"/>
    </xf>
    <xf numFmtId="0" fontId="67" fillId="57" borderId="4" xfId="0" applyFont="1" applyFill="1" applyBorder="1" applyAlignment="1" applyProtection="1">
      <alignment horizontal="center" vertical="center" wrapText="1"/>
      <protection hidden="1"/>
    </xf>
    <xf numFmtId="0" fontId="70" fillId="59" borderId="4" xfId="0" applyFont="1" applyFill="1" applyBorder="1" applyAlignment="1" applyProtection="1">
      <alignment horizontal="center" vertical="center"/>
      <protection hidden="1"/>
    </xf>
    <xf numFmtId="166" fontId="8" fillId="0" borderId="0" xfId="0" applyNumberFormat="1" applyFont="1" applyBorder="1" applyProtection="1"/>
    <xf numFmtId="0" fontId="0" fillId="69" borderId="66" xfId="0" applyFill="1" applyBorder="1"/>
    <xf numFmtId="2" fontId="0" fillId="69" borderId="22" xfId="0" applyNumberFormat="1" applyFill="1" applyBorder="1" applyAlignment="1">
      <alignment horizontal="center"/>
    </xf>
    <xf numFmtId="0" fontId="0" fillId="69" borderId="22" xfId="0" applyFill="1" applyBorder="1" applyAlignment="1">
      <alignment horizontal="center"/>
    </xf>
    <xf numFmtId="0" fontId="0" fillId="55" borderId="22" xfId="0" applyFill="1" applyBorder="1"/>
    <xf numFmtId="44" fontId="0" fillId="0" borderId="0" xfId="819" applyFont="1"/>
    <xf numFmtId="0" fontId="0" fillId="58" borderId="16" xfId="0" applyFill="1" applyBorder="1" applyProtection="1">
      <protection hidden="1"/>
    </xf>
    <xf numFmtId="0" fontId="0" fillId="58" borderId="0" xfId="0" applyFill="1" applyBorder="1" applyProtection="1">
      <protection hidden="1"/>
    </xf>
    <xf numFmtId="0" fontId="0" fillId="58" borderId="17" xfId="0" applyFill="1" applyBorder="1" applyProtection="1">
      <protection hidden="1"/>
    </xf>
    <xf numFmtId="0" fontId="49" fillId="58" borderId="0" xfId="0" applyFont="1" applyFill="1" applyBorder="1" applyProtection="1">
      <protection hidden="1"/>
    </xf>
    <xf numFmtId="166" fontId="49" fillId="58" borderId="0" xfId="0" applyNumberFormat="1" applyFont="1" applyFill="1" applyBorder="1" applyProtection="1">
      <protection hidden="1"/>
    </xf>
    <xf numFmtId="168" fontId="49" fillId="58" borderId="0" xfId="0" applyNumberFormat="1" applyFont="1" applyFill="1" applyBorder="1" applyProtection="1">
      <protection hidden="1"/>
    </xf>
    <xf numFmtId="168" fontId="49" fillId="58" borderId="0" xfId="0" applyNumberFormat="1" applyFont="1" applyFill="1" applyBorder="1" applyAlignment="1" applyProtection="1">
      <alignment horizontal="right"/>
      <protection hidden="1"/>
    </xf>
    <xf numFmtId="0" fontId="0" fillId="58" borderId="19" xfId="0" applyFill="1" applyBorder="1" applyProtection="1">
      <protection hidden="1"/>
    </xf>
    <xf numFmtId="0" fontId="0" fillId="58" borderId="20" xfId="0" applyFill="1" applyBorder="1" applyProtection="1">
      <protection hidden="1"/>
    </xf>
    <xf numFmtId="0" fontId="0" fillId="58" borderId="21" xfId="0" applyFill="1" applyBorder="1" applyProtection="1">
      <protection hidden="1"/>
    </xf>
    <xf numFmtId="0" fontId="0" fillId="60" borderId="13" xfId="0" applyFill="1" applyBorder="1" applyProtection="1">
      <protection hidden="1"/>
    </xf>
    <xf numFmtId="0" fontId="0" fillId="60" borderId="14" xfId="0" applyFill="1" applyBorder="1" applyProtection="1">
      <protection hidden="1"/>
    </xf>
    <xf numFmtId="0" fontId="0" fillId="60" borderId="15" xfId="0" applyFill="1" applyBorder="1" applyProtection="1">
      <protection hidden="1"/>
    </xf>
    <xf numFmtId="0" fontId="0" fillId="60" borderId="16" xfId="0" applyFill="1" applyBorder="1" applyProtection="1">
      <protection hidden="1"/>
    </xf>
    <xf numFmtId="0" fontId="0" fillId="60" borderId="19" xfId="0" applyFill="1" applyBorder="1" applyProtection="1">
      <protection hidden="1"/>
    </xf>
    <xf numFmtId="0" fontId="0" fillId="60" borderId="17" xfId="0" applyFill="1" applyBorder="1" applyProtection="1">
      <protection hidden="1"/>
    </xf>
    <xf numFmtId="0" fontId="0" fillId="60" borderId="21" xfId="0" applyFill="1" applyBorder="1" applyProtection="1">
      <protection hidden="1"/>
    </xf>
    <xf numFmtId="0" fontId="0" fillId="60" borderId="20" xfId="0" applyFill="1" applyBorder="1" applyProtection="1">
      <protection hidden="1"/>
    </xf>
    <xf numFmtId="0" fontId="0" fillId="62" borderId="13" xfId="0" applyFill="1" applyBorder="1" applyProtection="1">
      <protection hidden="1"/>
    </xf>
    <xf numFmtId="0" fontId="0" fillId="62" borderId="14" xfId="0" applyFill="1" applyBorder="1" applyProtection="1">
      <protection hidden="1"/>
    </xf>
    <xf numFmtId="0" fontId="0" fillId="62" borderId="15" xfId="0" applyFill="1" applyBorder="1" applyProtection="1">
      <protection hidden="1"/>
    </xf>
    <xf numFmtId="0" fontId="46" fillId="62" borderId="16" xfId="0" applyFont="1" applyFill="1" applyBorder="1" applyAlignment="1" applyProtection="1">
      <alignment vertical="center"/>
      <protection hidden="1"/>
    </xf>
    <xf numFmtId="0" fontId="0" fillId="62" borderId="16" xfId="0" applyFill="1" applyBorder="1" applyProtection="1">
      <protection hidden="1"/>
    </xf>
    <xf numFmtId="0" fontId="0" fillId="62" borderId="19" xfId="0" applyFill="1" applyBorder="1" applyProtection="1">
      <protection hidden="1"/>
    </xf>
    <xf numFmtId="0" fontId="0" fillId="62" borderId="20" xfId="0" applyFill="1" applyBorder="1" applyProtection="1">
      <protection hidden="1"/>
    </xf>
    <xf numFmtId="0" fontId="0" fillId="62" borderId="21" xfId="0" applyFill="1" applyBorder="1" applyProtection="1">
      <protection hidden="1"/>
    </xf>
    <xf numFmtId="0" fontId="0" fillId="62" borderId="17" xfId="0" applyFill="1" applyBorder="1" applyProtection="1">
      <protection hidden="1"/>
    </xf>
    <xf numFmtId="2" fontId="3" fillId="68" borderId="22" xfId="0" applyNumberFormat="1" applyFont="1" applyFill="1" applyBorder="1" applyAlignment="1">
      <alignment horizontal="center" vertical="center"/>
    </xf>
    <xf numFmtId="0" fontId="0" fillId="77" borderId="16" xfId="0" applyFill="1" applyBorder="1" applyProtection="1">
      <protection hidden="1"/>
    </xf>
    <xf numFmtId="0" fontId="0" fillId="77" borderId="0" xfId="0" applyFill="1" applyBorder="1" applyProtection="1">
      <protection hidden="1"/>
    </xf>
    <xf numFmtId="0" fontId="0" fillId="77" borderId="17" xfId="0" applyFill="1" applyBorder="1" applyProtection="1">
      <protection hidden="1"/>
    </xf>
    <xf numFmtId="0" fontId="54" fillId="77" borderId="0" xfId="0" applyFont="1" applyFill="1" applyBorder="1" applyProtection="1">
      <protection hidden="1"/>
    </xf>
    <xf numFmtId="0" fontId="9" fillId="77" borderId="0" xfId="0" applyFont="1" applyFill="1" applyBorder="1" applyAlignment="1" applyProtection="1">
      <alignment horizontal="center" vertical="center"/>
      <protection locked="0"/>
    </xf>
    <xf numFmtId="0" fontId="55" fillId="77" borderId="0" xfId="0" applyFont="1" applyFill="1" applyBorder="1" applyProtection="1">
      <protection hidden="1"/>
    </xf>
    <xf numFmtId="0" fontId="9" fillId="77" borderId="0" xfId="0" applyNumberFormat="1" applyFont="1" applyFill="1" applyBorder="1" applyAlignment="1" applyProtection="1">
      <alignment horizontal="center" vertical="center"/>
      <protection locked="0"/>
    </xf>
    <xf numFmtId="1" fontId="9" fillId="77" borderId="0" xfId="0" applyNumberFormat="1" applyFont="1" applyFill="1" applyBorder="1" applyAlignment="1" applyProtection="1">
      <alignment horizontal="center" vertical="center"/>
      <protection locked="0"/>
    </xf>
    <xf numFmtId="10" fontId="9" fillId="77" borderId="0" xfId="818" applyNumberFormat="1" applyFont="1" applyFill="1" applyBorder="1" applyAlignment="1" applyProtection="1">
      <alignment horizontal="center" vertical="center"/>
      <protection locked="0"/>
    </xf>
    <xf numFmtId="0" fontId="73" fillId="77" borderId="0" xfId="0" applyFont="1" applyFill="1" applyBorder="1" applyAlignment="1" applyProtection="1">
      <alignment horizontal="center" vertical="center"/>
      <protection locked="0"/>
    </xf>
    <xf numFmtId="0" fontId="71" fillId="77" borderId="0" xfId="0" applyFont="1" applyFill="1" applyBorder="1" applyProtection="1">
      <protection hidden="1"/>
    </xf>
    <xf numFmtId="169" fontId="74" fillId="77" borderId="0" xfId="819" applyNumberFormat="1" applyFont="1" applyFill="1" applyBorder="1" applyAlignment="1" applyProtection="1">
      <alignment horizontal="center" vertical="center"/>
      <protection locked="0" hidden="1"/>
    </xf>
    <xf numFmtId="0" fontId="68" fillId="77" borderId="0" xfId="0" applyFont="1" applyFill="1" applyBorder="1" applyProtection="1">
      <protection hidden="1"/>
    </xf>
    <xf numFmtId="7" fontId="58" fillId="77" borderId="0" xfId="0" applyNumberFormat="1" applyFont="1" applyFill="1" applyBorder="1" applyAlignment="1" applyProtection="1">
      <alignment horizontal="center" vertical="center"/>
      <protection locked="0"/>
    </xf>
    <xf numFmtId="0" fontId="56" fillId="77" borderId="0" xfId="0" applyFont="1" applyFill="1" applyBorder="1" applyProtection="1">
      <protection hidden="1"/>
    </xf>
    <xf numFmtId="0" fontId="54" fillId="77" borderId="0" xfId="0" applyFont="1" applyFill="1" applyBorder="1" applyAlignment="1" applyProtection="1">
      <alignment horizontal="right" vertical="center"/>
      <protection hidden="1"/>
    </xf>
    <xf numFmtId="7" fontId="60" fillId="77" borderId="0" xfId="0" applyNumberFormat="1" applyFont="1" applyFill="1" applyBorder="1" applyAlignment="1" applyProtection="1">
      <alignment horizontal="center" vertical="center"/>
      <protection hidden="1"/>
    </xf>
    <xf numFmtId="0" fontId="0" fillId="77" borderId="19" xfId="0" applyFill="1" applyBorder="1" applyProtection="1">
      <protection hidden="1"/>
    </xf>
    <xf numFmtId="0" fontId="9" fillId="77" borderId="20" xfId="0" applyFont="1" applyFill="1" applyBorder="1" applyAlignment="1" applyProtection="1">
      <alignment horizontal="right" vertical="center"/>
      <protection hidden="1"/>
    </xf>
    <xf numFmtId="7" fontId="9" fillId="77" borderId="20" xfId="0" applyNumberFormat="1" applyFont="1" applyFill="1" applyBorder="1" applyAlignment="1" applyProtection="1">
      <alignment horizontal="center" vertical="center"/>
      <protection hidden="1"/>
    </xf>
    <xf numFmtId="0" fontId="0" fillId="77" borderId="21" xfId="0" applyFill="1" applyBorder="1" applyProtection="1">
      <protection hidden="1"/>
    </xf>
    <xf numFmtId="166" fontId="49" fillId="58" borderId="0" xfId="0" applyNumberFormat="1" applyFont="1" applyFill="1" applyBorder="1" applyAlignment="1" applyProtection="1">
      <alignment horizontal="right"/>
      <protection hidden="1"/>
    </xf>
    <xf numFmtId="0" fontId="75" fillId="77" borderId="0" xfId="0" applyFont="1" applyFill="1" applyBorder="1" applyProtection="1">
      <protection hidden="1"/>
    </xf>
    <xf numFmtId="0" fontId="0" fillId="55" borderId="0" xfId="0" applyFill="1" applyProtection="1">
      <protection hidden="1"/>
    </xf>
    <xf numFmtId="0" fontId="77" fillId="55" borderId="0" xfId="820" quotePrefix="1" applyFont="1" applyFill="1" applyProtection="1">
      <protection locked="0"/>
    </xf>
    <xf numFmtId="166" fontId="3" fillId="68" borderId="22" xfId="0" applyNumberFormat="1" applyFont="1" applyFill="1" applyBorder="1" applyAlignment="1">
      <alignment horizontal="center"/>
    </xf>
    <xf numFmtId="0" fontId="43" fillId="55" borderId="0" xfId="0" applyFont="1" applyFill="1" applyProtection="1">
      <protection hidden="1"/>
    </xf>
    <xf numFmtId="0" fontId="0" fillId="65" borderId="17" xfId="0" applyNumberFormat="1" applyFill="1" applyBorder="1"/>
    <xf numFmtId="2" fontId="78" fillId="0" borderId="17" xfId="0" applyNumberFormat="1" applyFont="1" applyBorder="1"/>
    <xf numFmtId="0" fontId="6" fillId="0" borderId="0" xfId="1" applyFont="1" applyAlignment="1"/>
    <xf numFmtId="164" fontId="4" fillId="62" borderId="39" xfId="0" applyNumberFormat="1" applyFont="1" applyFill="1" applyBorder="1"/>
    <xf numFmtId="164" fontId="4" fillId="62" borderId="40" xfId="0" applyNumberFormat="1" applyFont="1" applyFill="1" applyBorder="1"/>
    <xf numFmtId="164" fontId="4" fillId="62" borderId="41" xfId="0" applyNumberFormat="1" applyFont="1" applyFill="1" applyBorder="1"/>
    <xf numFmtId="0" fontId="7" fillId="79" borderId="1" xfId="1" applyFont="1" applyFill="1" applyBorder="1" applyAlignment="1">
      <alignment horizontal="left" wrapText="1"/>
    </xf>
    <xf numFmtId="0" fontId="7" fillId="79" borderId="4" xfId="1" applyFont="1" applyFill="1" applyBorder="1" applyAlignment="1">
      <alignment horizontal="center" wrapText="1"/>
    </xf>
    <xf numFmtId="0" fontId="7" fillId="79" borderId="3" xfId="1" applyFont="1" applyFill="1" applyBorder="1" applyAlignment="1">
      <alignment horizontal="center" wrapText="1"/>
    </xf>
    <xf numFmtId="0" fontId="6" fillId="55" borderId="6" xfId="1" applyFont="1" applyFill="1" applyBorder="1"/>
    <xf numFmtId="0" fontId="6" fillId="55" borderId="5" xfId="1" applyFont="1" applyFill="1" applyBorder="1"/>
    <xf numFmtId="0" fontId="6" fillId="55" borderId="8" xfId="1" applyFont="1" applyFill="1" applyBorder="1"/>
    <xf numFmtId="0" fontId="6" fillId="55" borderId="7" xfId="1" applyFont="1" applyFill="1" applyBorder="1"/>
    <xf numFmtId="3" fontId="6" fillId="55" borderId="5" xfId="1" applyNumberFormat="1" applyFont="1" applyFill="1" applyBorder="1"/>
    <xf numFmtId="3" fontId="6" fillId="55" borderId="7" xfId="1" applyNumberFormat="1" applyFont="1" applyFill="1" applyBorder="1"/>
    <xf numFmtId="0" fontId="6" fillId="55" borderId="10" xfId="1" applyFont="1" applyFill="1" applyBorder="1"/>
    <xf numFmtId="3" fontId="6" fillId="55" borderId="9" xfId="1" applyNumberFormat="1" applyFont="1" applyFill="1" applyBorder="1"/>
    <xf numFmtId="0" fontId="6" fillId="55" borderId="9" xfId="1" applyFont="1" applyFill="1" applyBorder="1"/>
    <xf numFmtId="2" fontId="79" fillId="0" borderId="17" xfId="0" applyNumberFormat="1" applyFont="1" applyBorder="1"/>
    <xf numFmtId="0" fontId="65" fillId="74" borderId="13" xfId="0" applyFont="1" applyFill="1" applyBorder="1" applyAlignment="1">
      <alignment horizontal="left"/>
    </xf>
    <xf numFmtId="0" fontId="65" fillId="74" borderId="14" xfId="0" applyFont="1" applyFill="1" applyBorder="1" applyAlignment="1">
      <alignment horizontal="left"/>
    </xf>
    <xf numFmtId="0" fontId="65" fillId="74" borderId="15" xfId="0" applyFont="1" applyFill="1" applyBorder="1" applyAlignment="1">
      <alignment horizontal="left"/>
    </xf>
    <xf numFmtId="2" fontId="78" fillId="0" borderId="0" xfId="0" applyNumberFormat="1" applyFont="1" applyBorder="1"/>
    <xf numFmtId="0" fontId="8" fillId="66" borderId="0" xfId="0" applyFont="1" applyFill="1" applyBorder="1"/>
    <xf numFmtId="2" fontId="8" fillId="66" borderId="17" xfId="0" applyNumberFormat="1" applyFont="1" applyFill="1" applyBorder="1"/>
    <xf numFmtId="170" fontId="8" fillId="5" borderId="0" xfId="0" applyNumberFormat="1" applyFont="1" applyFill="1" applyBorder="1" applyProtection="1"/>
    <xf numFmtId="170" fontId="8" fillId="0" borderId="0" xfId="0" applyNumberFormat="1" applyFont="1" applyBorder="1" applyProtection="1"/>
    <xf numFmtId="0" fontId="3" fillId="62" borderId="22" xfId="0" applyFont="1" applyFill="1" applyBorder="1"/>
    <xf numFmtId="0" fontId="3" fillId="62" borderId="44" xfId="0" applyFont="1" applyFill="1" applyBorder="1"/>
    <xf numFmtId="0" fontId="0" fillId="55" borderId="18" xfId="0" applyFill="1" applyBorder="1"/>
    <xf numFmtId="2" fontId="0" fillId="55" borderId="17" xfId="0" applyNumberFormat="1" applyFill="1" applyBorder="1" applyAlignment="1">
      <alignment horizontal="center"/>
    </xf>
    <xf numFmtId="2" fontId="0" fillId="55" borderId="21" xfId="0" applyNumberFormat="1" applyFill="1" applyBorder="1" applyAlignment="1">
      <alignment horizontal="center"/>
    </xf>
    <xf numFmtId="0" fontId="80" fillId="80" borderId="16" xfId="0" applyFont="1" applyFill="1" applyBorder="1" applyAlignment="1" applyProtection="1">
      <alignment horizontal="left"/>
    </xf>
    <xf numFmtId="0" fontId="80" fillId="80" borderId="0" xfId="0" applyFont="1" applyFill="1" applyBorder="1" applyAlignment="1" applyProtection="1">
      <alignment horizontal="left"/>
    </xf>
    <xf numFmtId="0" fontId="80" fillId="80" borderId="17" xfId="0" applyFont="1" applyFill="1" applyBorder="1" applyAlignment="1" applyProtection="1">
      <alignment horizontal="left"/>
    </xf>
    <xf numFmtId="0" fontId="66" fillId="0" borderId="0" xfId="0" applyFont="1" applyBorder="1" applyAlignment="1">
      <alignment horizontal="right"/>
    </xf>
    <xf numFmtId="0" fontId="66" fillId="0" borderId="17" xfId="0" applyFont="1" applyBorder="1" applyAlignment="1">
      <alignment horizontal="right"/>
    </xf>
    <xf numFmtId="171" fontId="65" fillId="0" borderId="17" xfId="818" applyNumberFormat="1" applyFont="1" applyFill="1" applyBorder="1" applyAlignment="1">
      <alignment horizontal="right"/>
    </xf>
    <xf numFmtId="171" fontId="65" fillId="0" borderId="21" xfId="818" applyNumberFormat="1" applyFont="1" applyFill="1" applyBorder="1" applyAlignment="1">
      <alignment horizontal="right"/>
    </xf>
    <xf numFmtId="0" fontId="66" fillId="0" borderId="0" xfId="0" applyFont="1" applyBorder="1" applyAlignment="1">
      <alignment horizontal="right" wrapText="1"/>
    </xf>
    <xf numFmtId="0" fontId="66" fillId="0" borderId="17" xfId="0" applyFont="1" applyBorder="1" applyAlignment="1">
      <alignment horizontal="right" wrapText="1"/>
    </xf>
    <xf numFmtId="0" fontId="65" fillId="74" borderId="13" xfId="0" applyFont="1" applyFill="1" applyBorder="1" applyAlignment="1"/>
    <xf numFmtId="0" fontId="65" fillId="74" borderId="14" xfId="0" applyFont="1" applyFill="1" applyBorder="1" applyAlignment="1"/>
    <xf numFmtId="0" fontId="65" fillId="74" borderId="15" xfId="0" applyFont="1" applyFill="1" applyBorder="1" applyAlignment="1"/>
    <xf numFmtId="0" fontId="0" fillId="58" borderId="0" xfId="0" applyFill="1"/>
    <xf numFmtId="0" fontId="0" fillId="58" borderId="0" xfId="0" applyFill="1" applyAlignment="1">
      <alignment horizontal="center"/>
    </xf>
    <xf numFmtId="0" fontId="0" fillId="60" borderId="67" xfId="0" applyFill="1" applyBorder="1" applyProtection="1">
      <protection hidden="1"/>
    </xf>
    <xf numFmtId="0" fontId="70" fillId="82" borderId="19" xfId="0" applyFont="1" applyFill="1" applyBorder="1" applyAlignment="1" applyProtection="1">
      <alignment horizontal="center" vertical="center"/>
      <protection locked="0"/>
    </xf>
    <xf numFmtId="167" fontId="59" fillId="82" borderId="70" xfId="0" applyNumberFormat="1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0" fontId="3" fillId="58" borderId="0" xfId="0" applyFont="1" applyFill="1" applyBorder="1" applyProtection="1">
      <protection hidden="1"/>
    </xf>
    <xf numFmtId="166" fontId="3" fillId="58" borderId="0" xfId="0" applyNumberFormat="1" applyFont="1" applyFill="1" applyBorder="1" applyAlignment="1" applyProtection="1">
      <alignment horizontal="right"/>
      <protection hidden="1"/>
    </xf>
    <xf numFmtId="166" fontId="8" fillId="0" borderId="19" xfId="0" applyNumberFormat="1" applyFont="1" applyBorder="1" applyAlignment="1" applyProtection="1">
      <alignment vertical="center"/>
    </xf>
    <xf numFmtId="0" fontId="81" fillId="58" borderId="0" xfId="0" applyFont="1" applyFill="1" applyBorder="1" applyProtection="1">
      <protection hidden="1"/>
    </xf>
    <xf numFmtId="166" fontId="81" fillId="58" borderId="0" xfId="0" applyNumberFormat="1" applyFont="1" applyFill="1" applyBorder="1" applyProtection="1">
      <protection hidden="1"/>
    </xf>
    <xf numFmtId="0" fontId="50" fillId="67" borderId="0" xfId="0" applyFont="1" applyFill="1" applyAlignment="1" applyProtection="1">
      <alignment horizontal="center"/>
      <protection hidden="1"/>
    </xf>
    <xf numFmtId="0" fontId="52" fillId="67" borderId="0" xfId="0" applyFont="1" applyFill="1" applyAlignment="1" applyProtection="1">
      <alignment horizontal="center"/>
      <protection hidden="1"/>
    </xf>
    <xf numFmtId="0" fontId="51" fillId="67" borderId="0" xfId="0" applyFont="1" applyFill="1" applyAlignment="1" applyProtection="1">
      <alignment horizontal="center"/>
      <protection hidden="1"/>
    </xf>
    <xf numFmtId="0" fontId="11" fillId="64" borderId="42" xfId="0" applyFont="1" applyFill="1" applyBorder="1" applyAlignment="1" applyProtection="1">
      <alignment horizontal="center"/>
      <protection hidden="1"/>
    </xf>
    <xf numFmtId="0" fontId="11" fillId="64" borderId="43" xfId="0" applyFont="1" applyFill="1" applyBorder="1" applyAlignment="1" applyProtection="1">
      <alignment horizontal="center"/>
      <protection hidden="1"/>
    </xf>
    <xf numFmtId="0" fontId="11" fillId="64" borderId="44" xfId="0" applyFont="1" applyFill="1" applyBorder="1" applyAlignment="1" applyProtection="1">
      <alignment horizontal="center"/>
      <protection hidden="1"/>
    </xf>
    <xf numFmtId="0" fontId="10" fillId="78" borderId="42" xfId="0" applyFont="1" applyFill="1" applyBorder="1" applyAlignment="1" applyProtection="1">
      <alignment horizontal="center" vertical="center"/>
      <protection locked="0"/>
    </xf>
    <xf numFmtId="0" fontId="10" fillId="78" borderId="44" xfId="0" applyFont="1" applyFill="1" applyBorder="1" applyAlignment="1" applyProtection="1">
      <alignment horizontal="center" vertical="center"/>
      <protection locked="0"/>
    </xf>
    <xf numFmtId="0" fontId="48" fillId="57" borderId="42" xfId="0" applyFont="1" applyFill="1" applyBorder="1" applyAlignment="1" applyProtection="1">
      <alignment horizontal="center"/>
      <protection hidden="1"/>
    </xf>
    <xf numFmtId="0" fontId="48" fillId="57" borderId="43" xfId="0" applyFont="1" applyFill="1" applyBorder="1" applyAlignment="1" applyProtection="1">
      <alignment horizontal="center"/>
      <protection hidden="1"/>
    </xf>
    <xf numFmtId="0" fontId="48" fillId="57" borderId="44" xfId="0" applyFont="1" applyFill="1" applyBorder="1" applyAlignment="1" applyProtection="1">
      <alignment horizontal="center"/>
      <protection hidden="1"/>
    </xf>
    <xf numFmtId="0" fontId="72" fillId="81" borderId="68" xfId="0" quotePrefix="1" applyFont="1" applyFill="1" applyBorder="1" applyAlignment="1" applyProtection="1">
      <alignment horizontal="center" vertical="center"/>
      <protection hidden="1"/>
    </xf>
    <xf numFmtId="0" fontId="72" fillId="81" borderId="69" xfId="0" applyFont="1" applyFill="1" applyBorder="1" applyAlignment="1" applyProtection="1">
      <alignment horizontal="center" vertical="center"/>
      <protection hidden="1"/>
    </xf>
    <xf numFmtId="0" fontId="46" fillId="76" borderId="42" xfId="0" quotePrefix="1" applyFont="1" applyFill="1" applyBorder="1" applyAlignment="1" applyProtection="1">
      <alignment horizontal="center" vertical="center"/>
      <protection hidden="1"/>
    </xf>
    <xf numFmtId="0" fontId="46" fillId="76" borderId="44" xfId="0" applyFont="1" applyFill="1" applyBorder="1" applyAlignment="1" applyProtection="1">
      <alignment horizontal="center" vertical="center"/>
      <protection hidden="1"/>
    </xf>
    <xf numFmtId="0" fontId="3" fillId="75" borderId="0" xfId="0" applyFont="1" applyFill="1" applyAlignment="1">
      <alignment horizontal="center"/>
    </xf>
    <xf numFmtId="0" fontId="12" fillId="4" borderId="13" xfId="0" applyFont="1" applyFill="1" applyBorder="1" applyAlignment="1" applyProtection="1">
      <alignment horizontal="center"/>
    </xf>
    <xf numFmtId="0" fontId="12" fillId="4" borderId="14" xfId="0" applyFont="1" applyFill="1" applyBorder="1" applyAlignment="1" applyProtection="1">
      <alignment horizontal="center"/>
    </xf>
    <xf numFmtId="0" fontId="12" fillId="4" borderId="15" xfId="0" applyFont="1" applyFill="1" applyBorder="1" applyAlignment="1" applyProtection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0" fillId="4" borderId="14" xfId="0" applyFont="1" applyFill="1" applyBorder="1" applyAlignment="1" applyProtection="1">
      <alignment horizontal="center"/>
    </xf>
    <xf numFmtId="0" fontId="0" fillId="4" borderId="15" xfId="0" applyFont="1" applyFill="1" applyBorder="1" applyAlignment="1" applyProtection="1">
      <alignment horizontal="center"/>
    </xf>
    <xf numFmtId="0" fontId="3" fillId="4" borderId="13" xfId="0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57" fillId="3" borderId="0" xfId="0" applyFont="1" applyFill="1" applyBorder="1" applyAlignment="1" applyProtection="1">
      <alignment horizontal="center"/>
    </xf>
    <xf numFmtId="0" fontId="57" fillId="3" borderId="17" xfId="0" applyFont="1" applyFill="1" applyBorder="1" applyAlignment="1" applyProtection="1">
      <alignment horizontal="center"/>
    </xf>
    <xf numFmtId="0" fontId="57" fillId="3" borderId="16" xfId="0" applyFont="1" applyFill="1" applyBorder="1" applyAlignment="1" applyProtection="1">
      <alignment horizontal="center"/>
    </xf>
    <xf numFmtId="0" fontId="44" fillId="56" borderId="13" xfId="0" applyFont="1" applyFill="1" applyBorder="1" applyAlignment="1">
      <alignment horizontal="center"/>
    </xf>
    <xf numFmtId="0" fontId="44" fillId="56" borderId="14" xfId="0" applyFont="1" applyFill="1" applyBorder="1" applyAlignment="1">
      <alignment horizontal="center"/>
    </xf>
    <xf numFmtId="0" fontId="44" fillId="56" borderId="15" xfId="0" applyFont="1" applyFill="1" applyBorder="1" applyAlignment="1">
      <alignment horizontal="center"/>
    </xf>
    <xf numFmtId="0" fontId="6" fillId="58" borderId="5" xfId="1" applyFont="1" applyFill="1" applyBorder="1" applyAlignment="1">
      <alignment horizontal="center" vertical="center" wrapText="1"/>
    </xf>
    <xf numFmtId="0" fontId="6" fillId="58" borderId="7" xfId="1" applyFont="1" applyFill="1" applyBorder="1" applyAlignment="1">
      <alignment horizontal="center" vertical="center" wrapText="1"/>
    </xf>
    <xf numFmtId="0" fontId="6" fillId="58" borderId="9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58" borderId="5" xfId="1" applyFont="1" applyFill="1" applyBorder="1" applyAlignment="1">
      <alignment horizontal="center" vertical="center"/>
    </xf>
    <xf numFmtId="0" fontId="6" fillId="58" borderId="7" xfId="1" applyFont="1" applyFill="1" applyBorder="1" applyAlignment="1">
      <alignment horizontal="center" vertical="center"/>
    </xf>
    <xf numFmtId="0" fontId="6" fillId="58" borderId="9" xfId="1" applyFont="1" applyFill="1" applyBorder="1" applyAlignment="1">
      <alignment horizontal="center" vertical="center"/>
    </xf>
  </cellXfs>
  <cellStyles count="821">
    <cellStyle name="20% - Accent1" xfId="19" builtinId="30" customBuiltin="1"/>
    <cellStyle name="20% - Accent1 10" xfId="528" xr:uid="{CBF9F5A7-D2B3-4D5E-8254-613345F05492}"/>
    <cellStyle name="20% - Accent1 2" xfId="55" xr:uid="{282FCCE1-D108-42C1-850E-BD55342A3964}"/>
    <cellStyle name="20% - Accent1 2 2" xfId="408" xr:uid="{AAE780B5-7C9A-4056-A21A-FC79373210B1}"/>
    <cellStyle name="20% - Accent1 2 2 2" xfId="741" xr:uid="{978FD895-B372-4899-9467-0728380DF9E5}"/>
    <cellStyle name="20% - Accent1 2 3" xfId="320" xr:uid="{7EA160BD-2DC0-46A9-ACCB-51D1EF605988}"/>
    <cellStyle name="20% - Accent1 2 3 2" xfId="656" xr:uid="{B77CA3A8-AFA8-4091-B324-8AA5FAC19DF9}"/>
    <cellStyle name="20% - Accent1 2 4" xfId="540" xr:uid="{04DCFA3E-4967-414B-8B99-B1CAD362DBCC}"/>
    <cellStyle name="20% - Accent1 3" xfId="56" xr:uid="{CA157BF9-E690-44CA-9B43-1DBDBA51B2C6}"/>
    <cellStyle name="20% - Accent1 3 2" xfId="409" xr:uid="{9C0F7B75-F8F7-4CE7-B7B1-947A048E8332}"/>
    <cellStyle name="20% - Accent1 3 2 2" xfId="742" xr:uid="{BD2ACDDA-B24E-41FB-8277-132D14AD5363}"/>
    <cellStyle name="20% - Accent1 3 3" xfId="321" xr:uid="{5D347F19-7EFE-42BF-9C9E-E0B8E5D1FA39}"/>
    <cellStyle name="20% - Accent1 3 3 2" xfId="657" xr:uid="{230D2BFB-1142-4ABD-8654-3CF1EB24D508}"/>
    <cellStyle name="20% - Accent1 3 4" xfId="541" xr:uid="{C84E994E-78E7-408E-B665-67D5F2B2FF40}"/>
    <cellStyle name="20% - Accent1 4" xfId="57" xr:uid="{DC12A49C-33BA-42AC-A329-6CBC04CFF06B}"/>
    <cellStyle name="20% - Accent1 4 2" xfId="410" xr:uid="{9A098DCF-C14F-4C69-B80A-6D50B66024A7}"/>
    <cellStyle name="20% - Accent1 4 2 2" xfId="743" xr:uid="{B793F974-453A-46AD-83EB-DC5777A5723C}"/>
    <cellStyle name="20% - Accent1 4 3" xfId="322" xr:uid="{CC8EBB4D-3686-4231-8E6F-B664C433D988}"/>
    <cellStyle name="20% - Accent1 4 3 2" xfId="658" xr:uid="{C7941247-77CC-47FA-99D5-DA9A20923BB1}"/>
    <cellStyle name="20% - Accent1 4 4" xfId="542" xr:uid="{F9AC4780-489A-4329-B1C2-CA52B7A95638}"/>
    <cellStyle name="20% - Accent1 5" xfId="58" xr:uid="{188C03B9-A7E9-4989-BA9D-A9C6411EC492}"/>
    <cellStyle name="20% - Accent1 5 2" xfId="411" xr:uid="{40273F0E-A5AB-4467-AF07-353250245F52}"/>
    <cellStyle name="20% - Accent1 5 2 2" xfId="744" xr:uid="{B19913C9-1F46-408D-8AEB-91994E9889CC}"/>
    <cellStyle name="20% - Accent1 5 3" xfId="323" xr:uid="{74277856-ABB4-4544-93F4-0BC1F32D5C02}"/>
    <cellStyle name="20% - Accent1 5 3 2" xfId="659" xr:uid="{89A99393-78C7-44F7-9F12-522D25FF6090}"/>
    <cellStyle name="20% - Accent1 5 4" xfId="543" xr:uid="{2B2CB544-FC5C-4107-B585-0B89EF9AC05B}"/>
    <cellStyle name="20% - Accent1 6" xfId="59" xr:uid="{182CEA95-52A6-4845-B0E5-7BD0AB73DEBA}"/>
    <cellStyle name="20% - Accent1 6 2" xfId="412" xr:uid="{A5C6590A-6699-44E9-ADE3-41E2854BB7D2}"/>
    <cellStyle name="20% - Accent1 6 2 2" xfId="745" xr:uid="{4975514D-7A4C-48B2-BB86-70D439EC2DF1}"/>
    <cellStyle name="20% - Accent1 6 3" xfId="324" xr:uid="{68D9D67B-2B94-4AE0-857E-41FF0EA78DDE}"/>
    <cellStyle name="20% - Accent1 6 3 2" xfId="660" xr:uid="{F12CF177-AA03-41B1-B47C-1785EF1BF036}"/>
    <cellStyle name="20% - Accent1 6 4" xfId="544" xr:uid="{DC2FEB96-79FD-47C7-B213-9A245A1F756B}"/>
    <cellStyle name="20% - Accent1 7" xfId="60" xr:uid="{8BF94C8F-5324-49E5-AC02-7D6C93A34A85}"/>
    <cellStyle name="20% - Accent1 7 2" xfId="413" xr:uid="{F13004BA-2CFA-44FC-9F16-519841789804}"/>
    <cellStyle name="20% - Accent1 7 2 2" xfId="746" xr:uid="{FD2EE783-C707-4D2B-8C5A-5BEE9FCD3A2B}"/>
    <cellStyle name="20% - Accent1 7 3" xfId="325" xr:uid="{CB72262D-88AE-4B2F-B032-48498389B146}"/>
    <cellStyle name="20% - Accent1 7 3 2" xfId="661" xr:uid="{7A08FF1F-E798-4DBA-94C5-4592A5D7B0B4}"/>
    <cellStyle name="20% - Accent1 7 4" xfId="545" xr:uid="{C80B4B52-3265-4E9D-BB43-73F6AC5A60CB}"/>
    <cellStyle name="20% - Accent1 8" xfId="61" xr:uid="{34B62809-BC34-423C-B88D-B3657F9784DF}"/>
    <cellStyle name="20% - Accent1 8 2" xfId="414" xr:uid="{B1804E42-87DC-45CE-B30D-D23FBD3E4418}"/>
    <cellStyle name="20% - Accent1 8 2 2" xfId="747" xr:uid="{713B941D-8C1D-406A-8003-074F9F6B4DE8}"/>
    <cellStyle name="20% - Accent1 8 3" xfId="326" xr:uid="{CDB39A1D-628D-4DCF-A1F3-89B39A7B44A3}"/>
    <cellStyle name="20% - Accent1 8 3 2" xfId="662" xr:uid="{B99C32CF-F268-4B4B-B6EB-B24FDE9DE061}"/>
    <cellStyle name="20% - Accent1 8 4" xfId="546" xr:uid="{DDB76795-F736-48AC-BC86-61AD276C8066}"/>
    <cellStyle name="20% - Accent1 9" xfId="503" xr:uid="{8ED93D49-88E5-4C09-B573-6344879D5C43}"/>
    <cellStyle name="20% - Accent1 9 2" xfId="628" xr:uid="{BDA263F8-0CED-49D0-9CA4-5D100D257F9E}"/>
    <cellStyle name="20% - Accent2" xfId="22" builtinId="34" customBuiltin="1"/>
    <cellStyle name="20% - Accent2 10" xfId="530" xr:uid="{CB1E6883-F923-4DC9-A841-4A6E445F7A61}"/>
    <cellStyle name="20% - Accent2 2" xfId="62" xr:uid="{60E1275C-275A-4F4A-8F77-F56B456AB58E}"/>
    <cellStyle name="20% - Accent2 2 2" xfId="415" xr:uid="{62A90A3F-C3BD-45CF-B5C7-35CEBA781E89}"/>
    <cellStyle name="20% - Accent2 2 2 2" xfId="748" xr:uid="{2C2D3EAA-EEC3-4404-807B-43662DE29E22}"/>
    <cellStyle name="20% - Accent2 2 3" xfId="327" xr:uid="{36469C30-074B-457E-BC3F-7FF9C909B6A1}"/>
    <cellStyle name="20% - Accent2 2 3 2" xfId="663" xr:uid="{26D95243-F821-4F72-85FC-60162ED72CAE}"/>
    <cellStyle name="20% - Accent2 2 4" xfId="547" xr:uid="{B15DA060-A080-4280-BB03-10D5D20BF2C9}"/>
    <cellStyle name="20% - Accent2 3" xfId="63" xr:uid="{212AB483-7226-4CEF-8332-63747AA69622}"/>
    <cellStyle name="20% - Accent2 3 2" xfId="416" xr:uid="{15A5FEF5-3706-43A9-9902-4FF08B175130}"/>
    <cellStyle name="20% - Accent2 3 2 2" xfId="749" xr:uid="{84B8ABDC-3F2C-4F13-9197-3EC50EFA3784}"/>
    <cellStyle name="20% - Accent2 3 3" xfId="328" xr:uid="{75043A12-CA48-463E-B573-DCB9F9B3E4A7}"/>
    <cellStyle name="20% - Accent2 3 3 2" xfId="664" xr:uid="{2D52F895-A8A6-44EA-B6DF-9B81D460B79E}"/>
    <cellStyle name="20% - Accent2 3 4" xfId="548" xr:uid="{30D87F97-C6B4-42C0-9ACF-B082A4AE0A30}"/>
    <cellStyle name="20% - Accent2 4" xfId="64" xr:uid="{F193B5E9-B3B4-4AAF-938B-186BAB8376BC}"/>
    <cellStyle name="20% - Accent2 4 2" xfId="417" xr:uid="{D30548B6-AEFB-4487-B437-37BF2F98705F}"/>
    <cellStyle name="20% - Accent2 4 2 2" xfId="750" xr:uid="{8547145B-7A01-45E1-940D-80BD566CB655}"/>
    <cellStyle name="20% - Accent2 4 3" xfId="329" xr:uid="{233B27E5-45BE-48CB-B9B7-BC9DDAFE9095}"/>
    <cellStyle name="20% - Accent2 4 3 2" xfId="665" xr:uid="{6061A2A6-10A3-4CE8-A4AC-2B153CA1173E}"/>
    <cellStyle name="20% - Accent2 4 4" xfId="549" xr:uid="{F8214301-A9E8-4862-ADDC-118153FEE755}"/>
    <cellStyle name="20% - Accent2 5" xfId="65" xr:uid="{BCB1143B-1AC6-4FAA-BBC2-9BB0A644D1B6}"/>
    <cellStyle name="20% - Accent2 5 2" xfId="418" xr:uid="{656CA569-9C6F-4094-AB9A-A052933CF5CA}"/>
    <cellStyle name="20% - Accent2 5 2 2" xfId="751" xr:uid="{03C50622-2E6D-49CD-80A3-346BD2828D9F}"/>
    <cellStyle name="20% - Accent2 5 3" xfId="330" xr:uid="{B03F838A-34D1-47C6-89BA-BF7707B3B414}"/>
    <cellStyle name="20% - Accent2 5 3 2" xfId="666" xr:uid="{C6500C17-3192-42D6-B13F-112DAB5EAB93}"/>
    <cellStyle name="20% - Accent2 5 4" xfId="550" xr:uid="{64F090C5-327B-4D17-A9F1-D83704EA5289}"/>
    <cellStyle name="20% - Accent2 6" xfId="66" xr:uid="{D0C0F9CF-B4D6-4FDC-8B80-2A81026D1C49}"/>
    <cellStyle name="20% - Accent2 6 2" xfId="419" xr:uid="{4EC7BAE4-D622-4EC5-9931-3458A6D2C42A}"/>
    <cellStyle name="20% - Accent2 6 2 2" xfId="752" xr:uid="{03FBACF3-F0EB-4518-87B2-1FEE5E1348BF}"/>
    <cellStyle name="20% - Accent2 6 3" xfId="331" xr:uid="{C7371D6F-E319-413A-A036-C6B74320BFE7}"/>
    <cellStyle name="20% - Accent2 6 3 2" xfId="667" xr:uid="{E1B15628-D492-47E7-A6D3-5C9E50047E95}"/>
    <cellStyle name="20% - Accent2 6 4" xfId="551" xr:uid="{9BA867F9-065E-473E-82D8-5B7FB356B8A3}"/>
    <cellStyle name="20% - Accent2 7" xfId="67" xr:uid="{A216FD76-4F89-4B56-9395-77F97079A787}"/>
    <cellStyle name="20% - Accent2 7 2" xfId="420" xr:uid="{EFD6D2C6-DC98-49D3-8130-67DCACD8528C}"/>
    <cellStyle name="20% - Accent2 7 2 2" xfId="753" xr:uid="{60460010-7D5D-4A5A-9608-F7933BDF69C9}"/>
    <cellStyle name="20% - Accent2 7 3" xfId="332" xr:uid="{DD6329F2-A9F8-4A68-9A9C-264C4F3FD130}"/>
    <cellStyle name="20% - Accent2 7 3 2" xfId="668" xr:uid="{8D4E0B74-9C04-4DEC-8B01-FBFBB4037F23}"/>
    <cellStyle name="20% - Accent2 7 4" xfId="552" xr:uid="{BB273D80-0E6D-4935-85AE-A19A1A55F7EC}"/>
    <cellStyle name="20% - Accent2 8" xfId="68" xr:uid="{AB799DC1-080A-4857-8A93-57C2EFB00029}"/>
    <cellStyle name="20% - Accent2 8 2" xfId="421" xr:uid="{32540AC1-D279-472E-9DEC-D8D44E437CDE}"/>
    <cellStyle name="20% - Accent2 8 2 2" xfId="754" xr:uid="{5B2BB42A-012B-438F-8CBA-FF43026172CC}"/>
    <cellStyle name="20% - Accent2 8 3" xfId="333" xr:uid="{556D2BB3-0471-423A-9B5D-3F4A5EC324CF}"/>
    <cellStyle name="20% - Accent2 8 3 2" xfId="669" xr:uid="{075D73DF-3E2F-4386-8811-80CA50D52B10}"/>
    <cellStyle name="20% - Accent2 8 4" xfId="553" xr:uid="{C5AB1489-8604-4AD0-99D2-B5C7078ECB89}"/>
    <cellStyle name="20% - Accent2 9" xfId="507" xr:uid="{EBB71956-B9A0-418D-A5BE-A144FF7EF7DE}"/>
    <cellStyle name="20% - Accent2 9 2" xfId="630" xr:uid="{E9BB8926-A036-409C-9641-39E6EC20B7DD}"/>
    <cellStyle name="20% - Accent3" xfId="25" builtinId="38" customBuiltin="1"/>
    <cellStyle name="20% - Accent3 10" xfId="532" xr:uid="{ACEE14BF-637D-4CA7-BBA6-4F725E6FEE60}"/>
    <cellStyle name="20% - Accent3 2" xfId="69" xr:uid="{745CFADA-4AB9-4D62-8B87-E383888510CA}"/>
    <cellStyle name="20% - Accent3 2 2" xfId="422" xr:uid="{A7BE5FB5-90D9-482F-BBEF-E7DA221C1CCD}"/>
    <cellStyle name="20% - Accent3 2 2 2" xfId="755" xr:uid="{4FCDF451-92DE-4674-B81F-A5748905E6BC}"/>
    <cellStyle name="20% - Accent3 2 3" xfId="334" xr:uid="{1FFB29B7-2A99-4623-A210-E0695797D32D}"/>
    <cellStyle name="20% - Accent3 2 3 2" xfId="670" xr:uid="{39A3B6A8-19EB-4C87-9DAB-E231F5F014E4}"/>
    <cellStyle name="20% - Accent3 2 4" xfId="554" xr:uid="{69E2013B-8086-4C5F-B4F3-2C652A5D9DCE}"/>
    <cellStyle name="20% - Accent3 3" xfId="70" xr:uid="{7B602B5C-71A1-493F-9BC2-AA468E6D3C05}"/>
    <cellStyle name="20% - Accent3 3 2" xfId="423" xr:uid="{64F4D6B5-503A-4FB6-B29F-56B0071E4678}"/>
    <cellStyle name="20% - Accent3 3 2 2" xfId="756" xr:uid="{FB1152CE-97A1-460D-BDB3-640E9C293282}"/>
    <cellStyle name="20% - Accent3 3 3" xfId="335" xr:uid="{1DB1F3D0-1FE4-405A-8A3A-4791812EDD87}"/>
    <cellStyle name="20% - Accent3 3 3 2" xfId="671" xr:uid="{9D9BDC2E-8FBE-4744-970A-112121ECA22E}"/>
    <cellStyle name="20% - Accent3 3 4" xfId="555" xr:uid="{3E030FDA-DDA9-40B8-8BFA-85D8D69135D0}"/>
    <cellStyle name="20% - Accent3 4" xfId="71" xr:uid="{E6DF0CBF-AF4F-46D2-A6DD-E680F971E9BF}"/>
    <cellStyle name="20% - Accent3 4 2" xfId="424" xr:uid="{CBFC39CB-868C-4B2D-B0C2-E413866725AD}"/>
    <cellStyle name="20% - Accent3 4 2 2" xfId="757" xr:uid="{15522DDD-1942-4B9B-A1D6-021DB65DD1AB}"/>
    <cellStyle name="20% - Accent3 4 3" xfId="336" xr:uid="{E8545605-D668-444F-BE09-5FABAADC1903}"/>
    <cellStyle name="20% - Accent3 4 3 2" xfId="672" xr:uid="{1EA040EE-D02A-4BA3-ABCD-B5E96D1D3EA6}"/>
    <cellStyle name="20% - Accent3 4 4" xfId="556" xr:uid="{07B61453-97A9-4F44-99EF-CDE3F9FE44D5}"/>
    <cellStyle name="20% - Accent3 5" xfId="72" xr:uid="{E24CA2D7-DAE5-4839-8BBE-8D03414AB9AB}"/>
    <cellStyle name="20% - Accent3 5 2" xfId="425" xr:uid="{4066B1EF-A504-46E4-8A97-BD337037CF03}"/>
    <cellStyle name="20% - Accent3 5 2 2" xfId="758" xr:uid="{741449EC-C9D9-42EA-BAC8-44864D80EF6D}"/>
    <cellStyle name="20% - Accent3 5 3" xfId="337" xr:uid="{4DB29254-D2F8-4A17-AC1A-E4921CE9EA37}"/>
    <cellStyle name="20% - Accent3 5 3 2" xfId="673" xr:uid="{F2F7F84E-48E7-4222-9B50-FCC2DB5C4717}"/>
    <cellStyle name="20% - Accent3 5 4" xfId="557" xr:uid="{BF8E27C5-DF1B-4FA9-8936-DA43BF02232C}"/>
    <cellStyle name="20% - Accent3 6" xfId="73" xr:uid="{32B7F747-E7B2-4A15-A818-385F780063AC}"/>
    <cellStyle name="20% - Accent3 6 2" xfId="426" xr:uid="{6134F2ED-2505-4F5E-B362-1AA70304BA19}"/>
    <cellStyle name="20% - Accent3 6 2 2" xfId="759" xr:uid="{78775D35-8ED9-41D6-AD86-C51FB11D8395}"/>
    <cellStyle name="20% - Accent3 6 3" xfId="338" xr:uid="{2AA01966-99F3-428E-AB14-6394C6990D45}"/>
    <cellStyle name="20% - Accent3 6 3 2" xfId="674" xr:uid="{8F15ED48-E132-4B82-9550-0774F5E6EB1C}"/>
    <cellStyle name="20% - Accent3 6 4" xfId="558" xr:uid="{F71CA84E-2739-41E6-B1B2-1CB381F370DB}"/>
    <cellStyle name="20% - Accent3 7" xfId="74" xr:uid="{6552E935-F808-45C7-BA34-EFA0CD3B9106}"/>
    <cellStyle name="20% - Accent3 7 2" xfId="427" xr:uid="{0C6FF49F-BB2D-410B-BF65-E5DC3554E51D}"/>
    <cellStyle name="20% - Accent3 7 2 2" xfId="760" xr:uid="{981ED658-41EC-4818-A01F-1D26864BC997}"/>
    <cellStyle name="20% - Accent3 7 3" xfId="339" xr:uid="{C4323C08-DF42-452A-A628-F13558F02E8A}"/>
    <cellStyle name="20% - Accent3 7 3 2" xfId="675" xr:uid="{1FA42172-1FE8-4299-9508-0A5BF91E6988}"/>
    <cellStyle name="20% - Accent3 7 4" xfId="559" xr:uid="{C4A7D7D2-9AE6-4691-822E-20592824C47B}"/>
    <cellStyle name="20% - Accent3 8" xfId="75" xr:uid="{6FB9465C-C59A-4474-8291-AC7C7A9B24A8}"/>
    <cellStyle name="20% - Accent3 8 2" xfId="428" xr:uid="{07B5BF59-BB1F-4371-A267-2FF4E2989A3F}"/>
    <cellStyle name="20% - Accent3 8 2 2" xfId="761" xr:uid="{18C2663D-7D17-4CEE-AE4C-93B12CA522C8}"/>
    <cellStyle name="20% - Accent3 8 3" xfId="340" xr:uid="{2D9FA8BF-BE85-46EA-ADB7-F05C8C3F5ECA}"/>
    <cellStyle name="20% - Accent3 8 3 2" xfId="676" xr:uid="{522F812D-E0E4-4B1F-9D8B-422D88DDF273}"/>
    <cellStyle name="20% - Accent3 8 4" xfId="560" xr:uid="{0841B4BB-D837-4E22-B8F0-68AA6EE34725}"/>
    <cellStyle name="20% - Accent3 9" xfId="511" xr:uid="{35764479-32C2-441E-A718-ED78BAA3E1BC}"/>
    <cellStyle name="20% - Accent3 9 2" xfId="632" xr:uid="{F0E74BBC-18BF-402B-A4FE-CF7B00A40959}"/>
    <cellStyle name="20% - Accent4" xfId="28" builtinId="42" customBuiltin="1"/>
    <cellStyle name="20% - Accent4 10" xfId="534" xr:uid="{AE097337-B079-483F-8B04-9CA2121E1575}"/>
    <cellStyle name="20% - Accent4 2" xfId="76" xr:uid="{C6F523B2-DE5B-48B9-A680-23E005DACEFB}"/>
    <cellStyle name="20% - Accent4 2 2" xfId="429" xr:uid="{A6533588-C17B-497E-96E7-B6D25FA81CC4}"/>
    <cellStyle name="20% - Accent4 2 2 2" xfId="762" xr:uid="{AE25EF49-6A74-4A95-931B-72689F3AE1BF}"/>
    <cellStyle name="20% - Accent4 2 3" xfId="341" xr:uid="{32FBAD75-5F31-4E07-85B4-461BC5E6B0E7}"/>
    <cellStyle name="20% - Accent4 2 3 2" xfId="677" xr:uid="{E7DAB9FB-3D39-411C-A435-709F0A23D0B0}"/>
    <cellStyle name="20% - Accent4 2 4" xfId="561" xr:uid="{F718EDF7-D462-4EDD-B730-842324CA110E}"/>
    <cellStyle name="20% - Accent4 3" xfId="77" xr:uid="{044567D1-CDDE-4D18-9ABC-449A2E09D477}"/>
    <cellStyle name="20% - Accent4 3 2" xfId="430" xr:uid="{2137485C-EA14-46B4-8C00-B06E716AFD09}"/>
    <cellStyle name="20% - Accent4 3 2 2" xfId="763" xr:uid="{23B5E80B-673D-43AF-9067-47336935273D}"/>
    <cellStyle name="20% - Accent4 3 3" xfId="342" xr:uid="{4864CE4B-5CC5-46A5-BB19-EDE66372E100}"/>
    <cellStyle name="20% - Accent4 3 3 2" xfId="678" xr:uid="{48915D13-528B-4E0D-BB6C-CC22D93E317B}"/>
    <cellStyle name="20% - Accent4 3 4" xfId="562" xr:uid="{643A168C-E2B3-4A6A-9D9A-1714CB271145}"/>
    <cellStyle name="20% - Accent4 4" xfId="78" xr:uid="{1FF4B9CD-D2C6-4059-B776-6C1E29A8777E}"/>
    <cellStyle name="20% - Accent4 4 2" xfId="431" xr:uid="{3B1A5F72-6580-448D-B686-B5C227CF6C72}"/>
    <cellStyle name="20% - Accent4 4 2 2" xfId="764" xr:uid="{C5EABB92-6938-402C-85F2-3F91F44EAF94}"/>
    <cellStyle name="20% - Accent4 4 3" xfId="343" xr:uid="{66A1D968-D0D8-4D5C-95A2-756F422D0419}"/>
    <cellStyle name="20% - Accent4 4 3 2" xfId="679" xr:uid="{D224BA95-BF72-4478-B8CF-1A80EE4A28E8}"/>
    <cellStyle name="20% - Accent4 4 4" xfId="563" xr:uid="{F0EDAFBD-EF5C-41B2-995A-50DD6496B60C}"/>
    <cellStyle name="20% - Accent4 5" xfId="79" xr:uid="{91246DDD-F2A7-419F-8AD1-7DF1B6DB952B}"/>
    <cellStyle name="20% - Accent4 5 2" xfId="432" xr:uid="{07FE10F7-ED0D-45D1-A87D-6577B12ED920}"/>
    <cellStyle name="20% - Accent4 5 2 2" xfId="765" xr:uid="{E1217AE7-EDD0-4ABC-BD60-F943E62E9A22}"/>
    <cellStyle name="20% - Accent4 5 3" xfId="344" xr:uid="{DFDD6C24-5A12-4787-97B7-F108C6F82092}"/>
    <cellStyle name="20% - Accent4 5 3 2" xfId="680" xr:uid="{4D39FCD8-0E09-4EC0-A8EB-BD15A6A88407}"/>
    <cellStyle name="20% - Accent4 5 4" xfId="564" xr:uid="{7274EADD-8E29-40B5-AF3B-9D4A14C2B113}"/>
    <cellStyle name="20% - Accent4 6" xfId="80" xr:uid="{CAD7C7AC-F5CC-41F0-9241-253F9E27AAFE}"/>
    <cellStyle name="20% - Accent4 6 2" xfId="433" xr:uid="{5511CB40-B0F5-40E0-BA96-B1EE23940CCA}"/>
    <cellStyle name="20% - Accent4 6 2 2" xfId="766" xr:uid="{204F35C8-2DB7-40E5-95E7-563E63061A03}"/>
    <cellStyle name="20% - Accent4 6 3" xfId="345" xr:uid="{09CC101B-60EB-426E-8EC6-F02E57E0E8C8}"/>
    <cellStyle name="20% - Accent4 6 3 2" xfId="681" xr:uid="{8648A1A4-5D5A-498F-8B4D-6310FA44D61E}"/>
    <cellStyle name="20% - Accent4 6 4" xfId="565" xr:uid="{723F278B-AE05-4A42-9F86-E8398E0D6DF6}"/>
    <cellStyle name="20% - Accent4 7" xfId="81" xr:uid="{7E1CA038-4D4E-4ECB-86DD-15D4BE767815}"/>
    <cellStyle name="20% - Accent4 7 2" xfId="434" xr:uid="{719EC122-40EE-4C4D-B28A-C87D2B6BC89E}"/>
    <cellStyle name="20% - Accent4 7 2 2" xfId="767" xr:uid="{F1FEC389-3429-41FF-8853-69E36A10A951}"/>
    <cellStyle name="20% - Accent4 7 3" xfId="346" xr:uid="{1CA24F93-BDFC-4E20-89A0-C479725C6F84}"/>
    <cellStyle name="20% - Accent4 7 3 2" xfId="682" xr:uid="{D71DFA9A-AC9E-413A-BA00-0275ED111269}"/>
    <cellStyle name="20% - Accent4 7 4" xfId="566" xr:uid="{C1E9B7FB-819A-4149-B56E-974312700A8F}"/>
    <cellStyle name="20% - Accent4 8" xfId="82" xr:uid="{B4B7EBFB-E6D0-4710-87A9-145E4FF8C489}"/>
    <cellStyle name="20% - Accent4 8 2" xfId="435" xr:uid="{359067B1-F3CE-498C-A67E-F0BBFB6D7D71}"/>
    <cellStyle name="20% - Accent4 8 2 2" xfId="768" xr:uid="{5BBA0420-C51A-4FC8-A3C6-EBA01239046C}"/>
    <cellStyle name="20% - Accent4 8 3" xfId="347" xr:uid="{CE8444FE-1BDA-4349-80AA-32BFA61769A7}"/>
    <cellStyle name="20% - Accent4 8 3 2" xfId="683" xr:uid="{C32FDD2E-0ECD-4222-8533-860DFB18B0B0}"/>
    <cellStyle name="20% - Accent4 8 4" xfId="567" xr:uid="{DE949118-47C9-4F80-9321-248056179CC6}"/>
    <cellStyle name="20% - Accent4 9" xfId="515" xr:uid="{053E5777-DE57-4819-885D-56D1AE416D4A}"/>
    <cellStyle name="20% - Accent4 9 2" xfId="634" xr:uid="{7BE2924A-1D3F-4244-A976-93A305130E9D}"/>
    <cellStyle name="20% - Accent5" xfId="31" builtinId="46" customBuiltin="1"/>
    <cellStyle name="20% - Accent5 2" xfId="519" xr:uid="{A43CCE48-EC2A-4611-AEB6-A2D660687793}"/>
    <cellStyle name="20% - Accent5 2 2" xfId="636" xr:uid="{F3E23E8B-06EC-4292-99DE-C7F58AE6BE63}"/>
    <cellStyle name="20% - Accent5 3" xfId="536" xr:uid="{77F3BE92-DAA6-40E1-9E8B-768C29204C6A}"/>
    <cellStyle name="20% - Accent6" xfId="34" builtinId="50" customBuiltin="1"/>
    <cellStyle name="20% - Accent6 10" xfId="538" xr:uid="{F90F47D8-D430-40BC-9B56-173C3AA7F48E}"/>
    <cellStyle name="20% - Accent6 2" xfId="83" xr:uid="{031B5A29-785B-4F26-99D8-2380F77BCA7F}"/>
    <cellStyle name="20% - Accent6 2 2" xfId="436" xr:uid="{65060112-61A3-4068-8F33-9C21A390ADF8}"/>
    <cellStyle name="20% - Accent6 2 2 2" xfId="769" xr:uid="{0C82BF83-5BC2-498E-9780-A7C5D26B639A}"/>
    <cellStyle name="20% - Accent6 2 3" xfId="348" xr:uid="{5AA39D0E-E7E6-4D8D-A2DB-7629B67F875F}"/>
    <cellStyle name="20% - Accent6 2 3 2" xfId="684" xr:uid="{395ACA6C-A5DD-4DF6-9B5A-01AB96F9CBCC}"/>
    <cellStyle name="20% - Accent6 2 4" xfId="568" xr:uid="{E834D974-B990-4576-9AB8-08778BEFAB64}"/>
    <cellStyle name="20% - Accent6 3" xfId="84" xr:uid="{1793B19E-4218-4529-91FA-ADB8C3703E04}"/>
    <cellStyle name="20% - Accent6 3 2" xfId="437" xr:uid="{EB12581C-9289-46E3-A30F-CAE38FC23734}"/>
    <cellStyle name="20% - Accent6 3 2 2" xfId="770" xr:uid="{FAB4A21E-0BEF-4654-ADBA-985348F90563}"/>
    <cellStyle name="20% - Accent6 3 3" xfId="349" xr:uid="{98AA264D-3977-46C1-94EE-74C001E3A92E}"/>
    <cellStyle name="20% - Accent6 3 3 2" xfId="685" xr:uid="{95EC99B9-FA08-48A4-A2E4-562832222DF4}"/>
    <cellStyle name="20% - Accent6 3 4" xfId="569" xr:uid="{25254269-EB04-47D2-AE6C-0D557B9B6C38}"/>
    <cellStyle name="20% - Accent6 4" xfId="85" xr:uid="{4660969B-7584-4CBB-B629-4DAF7B0A836A}"/>
    <cellStyle name="20% - Accent6 4 2" xfId="438" xr:uid="{C1814180-E32A-4E15-A768-2F6F7527210A}"/>
    <cellStyle name="20% - Accent6 4 2 2" xfId="771" xr:uid="{F38380FB-E44D-452E-B12F-97DFFFC69403}"/>
    <cellStyle name="20% - Accent6 4 3" xfId="350" xr:uid="{078C2C93-FAA2-41AB-B54E-8C826EA90AB8}"/>
    <cellStyle name="20% - Accent6 4 3 2" xfId="686" xr:uid="{03F511D6-A02D-40E1-8584-950105C41E0C}"/>
    <cellStyle name="20% - Accent6 4 4" xfId="570" xr:uid="{FED666A3-7115-40B1-A0CB-44635565DD63}"/>
    <cellStyle name="20% - Accent6 5" xfId="86" xr:uid="{8D734DDB-A43F-4BD5-8918-B96FE6D46513}"/>
    <cellStyle name="20% - Accent6 5 2" xfId="439" xr:uid="{C9D2C4C5-C01D-4FFE-9731-BC6D17AAADB6}"/>
    <cellStyle name="20% - Accent6 5 2 2" xfId="772" xr:uid="{EDF015C2-C05F-4693-A4E6-3201E795299C}"/>
    <cellStyle name="20% - Accent6 5 3" xfId="351" xr:uid="{BFFEA9CC-133A-431C-8472-0102BC55DD8A}"/>
    <cellStyle name="20% - Accent6 5 3 2" xfId="687" xr:uid="{160E622C-9AF6-499B-BF93-EA606878DA47}"/>
    <cellStyle name="20% - Accent6 5 4" xfId="571" xr:uid="{54373F5C-5054-4D87-96B0-78131543D08E}"/>
    <cellStyle name="20% - Accent6 6" xfId="87" xr:uid="{91964A73-4992-40DA-9445-506B00F442FC}"/>
    <cellStyle name="20% - Accent6 6 2" xfId="440" xr:uid="{40A0B915-2E66-4455-88D9-653FAFCA01FB}"/>
    <cellStyle name="20% - Accent6 6 2 2" xfId="773" xr:uid="{720E1B41-69FE-48EC-B502-0AFFE90DAD44}"/>
    <cellStyle name="20% - Accent6 6 3" xfId="352" xr:uid="{ED9503A3-67F7-4588-B781-F5CCBBA68732}"/>
    <cellStyle name="20% - Accent6 6 3 2" xfId="688" xr:uid="{4927971C-E369-4F39-9B92-9C0EB4F07494}"/>
    <cellStyle name="20% - Accent6 6 4" xfId="572" xr:uid="{A47EEF73-F5DE-4E58-AFE0-89368E69EE7E}"/>
    <cellStyle name="20% - Accent6 7" xfId="88" xr:uid="{CD5A9A36-2BE5-457B-B0F5-099621837E21}"/>
    <cellStyle name="20% - Accent6 7 2" xfId="441" xr:uid="{52550D2A-075B-4D5A-B1F7-457CB36E42FF}"/>
    <cellStyle name="20% - Accent6 7 2 2" xfId="774" xr:uid="{895281E2-B705-4F6A-BF8B-828377CD0FEB}"/>
    <cellStyle name="20% - Accent6 7 3" xfId="353" xr:uid="{A6288EB2-BBE4-4249-B2D7-2CC2AE401BE3}"/>
    <cellStyle name="20% - Accent6 7 3 2" xfId="689" xr:uid="{CF1E4699-EDA4-4B22-AA2B-66880015F292}"/>
    <cellStyle name="20% - Accent6 7 4" xfId="573" xr:uid="{F69F96AE-936B-4075-94CA-3FD5E60E1F9B}"/>
    <cellStyle name="20% - Accent6 8" xfId="89" xr:uid="{21E981DE-4BEB-4AE8-988F-C97E24C9CD72}"/>
    <cellStyle name="20% - Accent6 8 2" xfId="442" xr:uid="{DB81E0E8-CF65-430B-82F5-BE46B9FCF554}"/>
    <cellStyle name="20% - Accent6 8 2 2" xfId="775" xr:uid="{98B1B23F-6513-4A7E-911F-0F16A09C0B23}"/>
    <cellStyle name="20% - Accent6 8 3" xfId="354" xr:uid="{E275FDC0-8536-4A8E-A31C-606070620A93}"/>
    <cellStyle name="20% - Accent6 8 3 2" xfId="690" xr:uid="{2FE171B0-A7FF-4A7A-B8C2-DB3D81E0EA73}"/>
    <cellStyle name="20% - Accent6 8 4" xfId="574" xr:uid="{F9930AC0-836C-489F-809C-013C23F16253}"/>
    <cellStyle name="20% - Accent6 9" xfId="523" xr:uid="{372BD3FA-5AB8-43E5-9EF8-05EE3DFD979B}"/>
    <cellStyle name="20% - Accent6 9 2" xfId="638" xr:uid="{59A855EA-AC44-45B7-98F9-2A2EAA8E80E5}"/>
    <cellStyle name="40% - Accent1" xfId="20" builtinId="31" customBuiltin="1"/>
    <cellStyle name="40% - Accent1 10" xfId="529" xr:uid="{3E059DE6-EFBD-48DB-9222-14C57BBA1FE7}"/>
    <cellStyle name="40% - Accent1 2" xfId="90" xr:uid="{9C82205C-DC9A-4135-8EA3-4205718FA31A}"/>
    <cellStyle name="40% - Accent1 2 2" xfId="443" xr:uid="{C2644E67-A096-471C-9FF7-60BEA2C92944}"/>
    <cellStyle name="40% - Accent1 2 2 2" xfId="776" xr:uid="{B7F22554-E51E-4C36-A95E-4E301827E47B}"/>
    <cellStyle name="40% - Accent1 2 3" xfId="355" xr:uid="{004D1658-CF33-43C4-A5B1-0AC4B7CCBC8A}"/>
    <cellStyle name="40% - Accent1 2 3 2" xfId="691" xr:uid="{C50929A0-42B1-4EDC-A0E3-53F4A3B48A09}"/>
    <cellStyle name="40% - Accent1 2 4" xfId="575" xr:uid="{750CC94C-916A-4474-B52C-8AB128D01A66}"/>
    <cellStyle name="40% - Accent1 3" xfId="91" xr:uid="{DF5CA62B-FE26-4A86-BB99-62FF47A14143}"/>
    <cellStyle name="40% - Accent1 3 2" xfId="444" xr:uid="{C9AE606B-F04F-4604-BD23-050EEC739326}"/>
    <cellStyle name="40% - Accent1 3 2 2" xfId="777" xr:uid="{AAE40B84-0BB2-4893-B8F4-5E8C0963B442}"/>
    <cellStyle name="40% - Accent1 3 3" xfId="356" xr:uid="{C8873B41-5B87-4936-A1BE-F60149E0AD9D}"/>
    <cellStyle name="40% - Accent1 3 3 2" xfId="692" xr:uid="{46D3B759-EDEE-4589-B2BC-3C6794330310}"/>
    <cellStyle name="40% - Accent1 3 4" xfId="576" xr:uid="{74A192EA-D487-4EAF-87C8-459F0E65EF76}"/>
    <cellStyle name="40% - Accent1 4" xfId="92" xr:uid="{1A648B66-DABF-455B-BCF2-C444B809AD85}"/>
    <cellStyle name="40% - Accent1 4 2" xfId="445" xr:uid="{FBC94248-F0C2-4279-9133-3196445E63B0}"/>
    <cellStyle name="40% - Accent1 4 2 2" xfId="778" xr:uid="{63DA6F74-990B-44CD-8579-51063623357D}"/>
    <cellStyle name="40% - Accent1 4 3" xfId="357" xr:uid="{77952F07-A699-429A-89B3-E3282F5A98B2}"/>
    <cellStyle name="40% - Accent1 4 3 2" xfId="693" xr:uid="{55CCC0AC-EA02-4A2D-880F-848DEB547967}"/>
    <cellStyle name="40% - Accent1 4 4" xfId="577" xr:uid="{72B8286E-1EFD-402B-B68E-9A6F6D55F69F}"/>
    <cellStyle name="40% - Accent1 5" xfId="93" xr:uid="{30FC0E67-5C3C-49F3-99FF-C43C16145C1E}"/>
    <cellStyle name="40% - Accent1 5 2" xfId="446" xr:uid="{379675CE-A2CE-49F1-A7A1-785BFC30B549}"/>
    <cellStyle name="40% - Accent1 5 2 2" xfId="779" xr:uid="{3A6EDFF5-1B51-4841-B0CD-D0905ED5EF3E}"/>
    <cellStyle name="40% - Accent1 5 3" xfId="358" xr:uid="{576849EB-E3B3-4E6A-8B4C-EF9156AFF8B0}"/>
    <cellStyle name="40% - Accent1 5 3 2" xfId="694" xr:uid="{8FEE706C-2C9E-4E7E-91E3-AD6AB043FC00}"/>
    <cellStyle name="40% - Accent1 5 4" xfId="578" xr:uid="{080DCA61-E0FA-4CEA-B821-0677AFFF5207}"/>
    <cellStyle name="40% - Accent1 6" xfId="94" xr:uid="{46E87071-EB4A-4897-A7D0-AE52243CC525}"/>
    <cellStyle name="40% - Accent1 6 2" xfId="447" xr:uid="{E85F04DA-70B7-4DC1-A913-376CC2FCC57B}"/>
    <cellStyle name="40% - Accent1 6 2 2" xfId="780" xr:uid="{6DCEBF37-7BFE-45EE-9684-EC5BD00865D8}"/>
    <cellStyle name="40% - Accent1 6 3" xfId="359" xr:uid="{879DF783-5824-4CAE-B8B3-643A87E39031}"/>
    <cellStyle name="40% - Accent1 6 3 2" xfId="695" xr:uid="{62C22582-8031-4D16-A8F4-2D612870973D}"/>
    <cellStyle name="40% - Accent1 6 4" xfId="579" xr:uid="{1ECEFEDC-25FA-4BD6-9DAE-5D327A0902F2}"/>
    <cellStyle name="40% - Accent1 7" xfId="95" xr:uid="{275A9784-0824-410F-8521-657C7A0ACBAD}"/>
    <cellStyle name="40% - Accent1 7 2" xfId="448" xr:uid="{8B4BBB0D-2DDB-4EA3-820D-78F33D378D8D}"/>
    <cellStyle name="40% - Accent1 7 2 2" xfId="781" xr:uid="{277ED8A2-03D0-4131-B031-EC351897BB04}"/>
    <cellStyle name="40% - Accent1 7 3" xfId="360" xr:uid="{380361E2-E1D7-4D09-8EDC-8D016CD28B80}"/>
    <cellStyle name="40% - Accent1 7 3 2" xfId="696" xr:uid="{0D77585D-723E-434B-BCC8-E7823FF79EEC}"/>
    <cellStyle name="40% - Accent1 7 4" xfId="580" xr:uid="{58C03CBD-9962-40FC-BEDB-FC9E8B553887}"/>
    <cellStyle name="40% - Accent1 8" xfId="96" xr:uid="{FFABED61-69C9-4811-B347-E411F2710F40}"/>
    <cellStyle name="40% - Accent1 8 2" xfId="449" xr:uid="{B1649F96-2FDD-4EF7-801F-B5CFAD9631FE}"/>
    <cellStyle name="40% - Accent1 8 2 2" xfId="782" xr:uid="{912EA4F6-F0FC-4F97-8224-BC729025FCFF}"/>
    <cellStyle name="40% - Accent1 8 3" xfId="361" xr:uid="{E2811F2A-6C86-4AFF-A297-FB64944C74D3}"/>
    <cellStyle name="40% - Accent1 8 3 2" xfId="697" xr:uid="{1C67523B-1EDE-4EE1-87AC-A7FCF4C68077}"/>
    <cellStyle name="40% - Accent1 8 4" xfId="581" xr:uid="{61AAC488-EFDB-40F7-95DC-10110B5403A1}"/>
    <cellStyle name="40% - Accent1 9" xfId="504" xr:uid="{E8DBBC10-07D5-4580-A5AB-A224A22B4734}"/>
    <cellStyle name="40% - Accent1 9 2" xfId="629" xr:uid="{3A461209-5B14-4B24-8C27-D0C22A07D303}"/>
    <cellStyle name="40% - Accent2" xfId="23" builtinId="35" customBuiltin="1"/>
    <cellStyle name="40% - Accent2 2" xfId="508" xr:uid="{E5D7547B-49E6-4194-ACA5-7679AC3A4390}"/>
    <cellStyle name="40% - Accent2 2 2" xfId="631" xr:uid="{DFD67D32-AD81-4100-AE4F-238D4064CB2F}"/>
    <cellStyle name="40% - Accent2 3" xfId="531" xr:uid="{08D9A46B-73B8-4854-8470-97A99DF4128A}"/>
    <cellStyle name="40% - Accent3" xfId="26" builtinId="39" customBuiltin="1"/>
    <cellStyle name="40% - Accent3 10" xfId="533" xr:uid="{4E9C7358-606F-4ACB-AC94-4C86F515379D}"/>
    <cellStyle name="40% - Accent3 2" xfId="97" xr:uid="{D6FD5A95-ECA0-4946-B092-B479B9D30AFB}"/>
    <cellStyle name="40% - Accent3 2 2" xfId="450" xr:uid="{146945E0-AE23-4019-9DC8-BE2AA1C971AF}"/>
    <cellStyle name="40% - Accent3 2 2 2" xfId="783" xr:uid="{5A426A41-E4AF-42DD-A508-6F2C06756D7A}"/>
    <cellStyle name="40% - Accent3 2 3" xfId="362" xr:uid="{AD32C4DB-18F8-47CF-A087-700CA12DB6E6}"/>
    <cellStyle name="40% - Accent3 2 3 2" xfId="698" xr:uid="{CD4C7E48-3DEA-4B6C-9163-90082DB066C3}"/>
    <cellStyle name="40% - Accent3 2 4" xfId="582" xr:uid="{0D9E0912-3CBA-4D61-B15E-E7D2111C44B0}"/>
    <cellStyle name="40% - Accent3 3" xfId="98" xr:uid="{1B65B935-719F-4412-903D-C2419C2CB90C}"/>
    <cellStyle name="40% - Accent3 3 2" xfId="451" xr:uid="{908D6024-7088-4117-A37F-1FA0CBC876EA}"/>
    <cellStyle name="40% - Accent3 3 2 2" xfId="784" xr:uid="{639FCCBA-AEAA-4EF0-89B6-58A7BC456F67}"/>
    <cellStyle name="40% - Accent3 3 3" xfId="363" xr:uid="{2D2A0B1D-C035-40EA-A2D6-039E397356D4}"/>
    <cellStyle name="40% - Accent3 3 3 2" xfId="699" xr:uid="{F5146B65-C854-463F-A517-4273B09B9558}"/>
    <cellStyle name="40% - Accent3 3 4" xfId="583" xr:uid="{6DFCCEA0-4EC1-489E-87E3-0667BC028770}"/>
    <cellStyle name="40% - Accent3 4" xfId="99" xr:uid="{C8E887B3-8711-4664-BFD3-9124B8F90E07}"/>
    <cellStyle name="40% - Accent3 4 2" xfId="452" xr:uid="{9F29B545-04BA-4C69-9FFA-76CE1B398548}"/>
    <cellStyle name="40% - Accent3 4 2 2" xfId="785" xr:uid="{B142DE13-F4ED-486D-9D0D-919DA87919B9}"/>
    <cellStyle name="40% - Accent3 4 3" xfId="364" xr:uid="{E90E5A27-F2A9-4A77-AB98-23126FC92916}"/>
    <cellStyle name="40% - Accent3 4 3 2" xfId="700" xr:uid="{A949EBAA-2464-4601-8ABE-6091AEAEDAD1}"/>
    <cellStyle name="40% - Accent3 4 4" xfId="584" xr:uid="{012BFC8C-DC38-4134-9A67-155E3014BFE1}"/>
    <cellStyle name="40% - Accent3 5" xfId="100" xr:uid="{3B2D6744-961E-452D-8DED-A138045E3E56}"/>
    <cellStyle name="40% - Accent3 5 2" xfId="453" xr:uid="{4306F9EC-50DD-42D3-BC2E-206DE135BBBE}"/>
    <cellStyle name="40% - Accent3 5 2 2" xfId="786" xr:uid="{57991561-F4D4-4A39-9D4E-B4F9ED074E43}"/>
    <cellStyle name="40% - Accent3 5 3" xfId="365" xr:uid="{67A8F3F9-1A3D-4223-9409-D4E7E1B5647C}"/>
    <cellStyle name="40% - Accent3 5 3 2" xfId="701" xr:uid="{D414FFE5-E507-497E-8F80-7A4D9295726B}"/>
    <cellStyle name="40% - Accent3 5 4" xfId="585" xr:uid="{DEBB6736-5A18-4D01-B6E8-A2E5986A51B2}"/>
    <cellStyle name="40% - Accent3 6" xfId="101" xr:uid="{753F363C-52CB-43C4-9C7B-474B5661E935}"/>
    <cellStyle name="40% - Accent3 6 2" xfId="454" xr:uid="{FC399275-AAC0-433D-A809-E6194639B290}"/>
    <cellStyle name="40% - Accent3 6 2 2" xfId="787" xr:uid="{777FB4CD-8C3D-4084-BA77-A9808EE36A21}"/>
    <cellStyle name="40% - Accent3 6 3" xfId="366" xr:uid="{2461B836-47D5-4895-84C9-3D1EEA81D0D9}"/>
    <cellStyle name="40% - Accent3 6 3 2" xfId="702" xr:uid="{DFBDC4BB-FF3C-4941-81DD-68E734D079F7}"/>
    <cellStyle name="40% - Accent3 6 4" xfId="586" xr:uid="{110E5FE0-42A6-4A8C-8AD3-130AF6050F9E}"/>
    <cellStyle name="40% - Accent3 7" xfId="102" xr:uid="{AF060CCE-55D6-499C-891A-49ACAFCC2786}"/>
    <cellStyle name="40% - Accent3 7 2" xfId="455" xr:uid="{E39873DD-000E-4C2F-8ECA-1D0CD7B6C104}"/>
    <cellStyle name="40% - Accent3 7 2 2" xfId="788" xr:uid="{8A1C9949-E596-42DD-8F5E-AB18A765FBE3}"/>
    <cellStyle name="40% - Accent3 7 3" xfId="367" xr:uid="{3C80385D-4887-4BC6-8378-84FD629CE1A1}"/>
    <cellStyle name="40% - Accent3 7 3 2" xfId="703" xr:uid="{33365D28-5AE6-4E7E-9BB9-62D4017660EA}"/>
    <cellStyle name="40% - Accent3 7 4" xfId="587" xr:uid="{1EAB54DA-35A4-4081-B7CB-8734609340D9}"/>
    <cellStyle name="40% - Accent3 8" xfId="103" xr:uid="{4BC00673-B987-4DD6-828D-B56FED44F4A8}"/>
    <cellStyle name="40% - Accent3 8 2" xfId="456" xr:uid="{CE16F2A3-D54C-440E-AE30-A106B36A75F6}"/>
    <cellStyle name="40% - Accent3 8 2 2" xfId="789" xr:uid="{B3D1DDF2-703E-4C85-BE6B-206F6A59A658}"/>
    <cellStyle name="40% - Accent3 8 3" xfId="368" xr:uid="{397EAC41-2FCA-4628-B01A-418981A64B18}"/>
    <cellStyle name="40% - Accent3 8 3 2" xfId="704" xr:uid="{E40B708C-D471-482F-B526-02169FAD00DA}"/>
    <cellStyle name="40% - Accent3 8 4" xfId="588" xr:uid="{54D42B7D-C8C1-4083-BC3E-399C74868446}"/>
    <cellStyle name="40% - Accent3 9" xfId="512" xr:uid="{9033C224-0EC3-423F-B8B0-56B12222D191}"/>
    <cellStyle name="40% - Accent3 9 2" xfId="633" xr:uid="{1877BA20-33FE-494B-B95B-4E270F195030}"/>
    <cellStyle name="40% - Accent4" xfId="29" builtinId="43" customBuiltin="1"/>
    <cellStyle name="40% - Accent4 10" xfId="535" xr:uid="{AE62A945-71FD-4294-8E90-D2D6D13DEAF6}"/>
    <cellStyle name="40% - Accent4 2" xfId="104" xr:uid="{87ACF841-478C-4A6B-B80C-E47F7CFCACC0}"/>
    <cellStyle name="40% - Accent4 2 2" xfId="457" xr:uid="{4C90C288-2764-4644-A734-DDF7F2FC48EF}"/>
    <cellStyle name="40% - Accent4 2 2 2" xfId="790" xr:uid="{737B0F08-F89F-4AE5-9858-82B09645276E}"/>
    <cellStyle name="40% - Accent4 2 3" xfId="369" xr:uid="{7EC70488-D494-40A1-BB0D-D45F1649792F}"/>
    <cellStyle name="40% - Accent4 2 3 2" xfId="705" xr:uid="{DA716B68-C0B2-487D-A259-96A49D0ECDF9}"/>
    <cellStyle name="40% - Accent4 2 4" xfId="589" xr:uid="{3A931262-7E59-4BE3-816F-8544165F73B3}"/>
    <cellStyle name="40% - Accent4 3" xfId="105" xr:uid="{2CBB0BE9-E356-4C90-8871-85355EA72939}"/>
    <cellStyle name="40% - Accent4 3 2" xfId="458" xr:uid="{5A2549F0-4047-4F19-9B83-CEC04E275347}"/>
    <cellStyle name="40% - Accent4 3 2 2" xfId="791" xr:uid="{6075ED2F-3D7C-45A3-9D1C-852F6DDF2346}"/>
    <cellStyle name="40% - Accent4 3 3" xfId="370" xr:uid="{E559ED14-A4C2-4B14-85E9-67FDD0CEE280}"/>
    <cellStyle name="40% - Accent4 3 3 2" xfId="706" xr:uid="{804716AB-F127-41E8-AD16-FBED746D2CE0}"/>
    <cellStyle name="40% - Accent4 3 4" xfId="590" xr:uid="{0C2DADD6-B1D4-4DE5-BBC2-C95CCF8CC828}"/>
    <cellStyle name="40% - Accent4 4" xfId="106" xr:uid="{DD37DD87-C293-46AE-9120-088D974ABE79}"/>
    <cellStyle name="40% - Accent4 4 2" xfId="459" xr:uid="{0D3B6F81-F332-40E2-A1F5-35EED08BE0D9}"/>
    <cellStyle name="40% - Accent4 4 2 2" xfId="792" xr:uid="{1D4548FB-2EB4-4CBF-9D68-89611CE3FB54}"/>
    <cellStyle name="40% - Accent4 4 3" xfId="371" xr:uid="{1FCD4E96-B21E-4186-80AC-A76346AD4259}"/>
    <cellStyle name="40% - Accent4 4 3 2" xfId="707" xr:uid="{1D41870A-3E34-4DC0-923C-A484FAC81CE1}"/>
    <cellStyle name="40% - Accent4 4 4" xfId="591" xr:uid="{E6955228-3F89-422E-8C65-19A62C2CCC4D}"/>
    <cellStyle name="40% - Accent4 5" xfId="107" xr:uid="{AA042110-C1F2-4ADD-8F16-81E4043F1E4F}"/>
    <cellStyle name="40% - Accent4 5 2" xfId="460" xr:uid="{48A7A17B-B2BE-46B7-941B-2A9DE2EBA375}"/>
    <cellStyle name="40% - Accent4 5 2 2" xfId="793" xr:uid="{0D76D964-B7E3-4E7A-A19E-B99C25D1285B}"/>
    <cellStyle name="40% - Accent4 5 3" xfId="372" xr:uid="{238331D0-F357-48E9-827B-3726BD7A5C1F}"/>
    <cellStyle name="40% - Accent4 5 3 2" xfId="708" xr:uid="{DBBBD95F-1736-4545-975A-98E24B239A48}"/>
    <cellStyle name="40% - Accent4 5 4" xfId="592" xr:uid="{0428B819-3526-412B-8E3B-28951154ADFF}"/>
    <cellStyle name="40% - Accent4 6" xfId="108" xr:uid="{9F05F274-158B-4E03-BD56-5C3027C8886B}"/>
    <cellStyle name="40% - Accent4 6 2" xfId="461" xr:uid="{8DA230FD-F193-4B60-9908-5B41B22658FF}"/>
    <cellStyle name="40% - Accent4 6 2 2" xfId="794" xr:uid="{67D50E4D-EDBD-4815-A6ED-D4E243DF9DBF}"/>
    <cellStyle name="40% - Accent4 6 3" xfId="373" xr:uid="{2A8E1918-EEC6-4542-A93E-E4ACFBDB7DE6}"/>
    <cellStyle name="40% - Accent4 6 3 2" xfId="709" xr:uid="{A3362356-1091-4204-9985-9939A7FE5B2F}"/>
    <cellStyle name="40% - Accent4 6 4" xfId="593" xr:uid="{E6493E48-A375-49A4-B6F3-001F14B70A0E}"/>
    <cellStyle name="40% - Accent4 7" xfId="109" xr:uid="{6DDF14F7-F7EE-454F-9A1D-532D7002A85D}"/>
    <cellStyle name="40% - Accent4 7 2" xfId="462" xr:uid="{A3C83D9A-E65C-4168-90B5-76E929FFC824}"/>
    <cellStyle name="40% - Accent4 7 2 2" xfId="795" xr:uid="{91BA7D74-3015-4DBD-8EDA-64E756809D48}"/>
    <cellStyle name="40% - Accent4 7 3" xfId="374" xr:uid="{B9F9BE6F-397D-4226-A50A-6271EBBC99C6}"/>
    <cellStyle name="40% - Accent4 7 3 2" xfId="710" xr:uid="{2786E0AF-99C2-4F73-9FB1-8F988D05CBDC}"/>
    <cellStyle name="40% - Accent4 7 4" xfId="594" xr:uid="{DE9851F3-6F74-43E4-AD2A-D2BEF080ACF1}"/>
    <cellStyle name="40% - Accent4 8" xfId="110" xr:uid="{71BF57B6-1143-4D41-AAC8-11B53661D92C}"/>
    <cellStyle name="40% - Accent4 8 2" xfId="463" xr:uid="{BBABFE5C-C9CB-4E7D-993D-7D0563E3C93F}"/>
    <cellStyle name="40% - Accent4 8 2 2" xfId="796" xr:uid="{8CF82A17-4DF0-4557-93DC-D7C0156D34A4}"/>
    <cellStyle name="40% - Accent4 8 3" xfId="375" xr:uid="{67A99125-17BC-4C16-8630-81DCAD78B04E}"/>
    <cellStyle name="40% - Accent4 8 3 2" xfId="711" xr:uid="{36EACE85-1651-4058-AE84-C98102B2FF02}"/>
    <cellStyle name="40% - Accent4 8 4" xfId="595" xr:uid="{B1A25D8D-345E-4E2B-9EE6-1C765A3344E5}"/>
    <cellStyle name="40% - Accent4 9" xfId="516" xr:uid="{4E86C276-BC55-4432-96DB-2B5446846E74}"/>
    <cellStyle name="40% - Accent4 9 2" xfId="635" xr:uid="{4D93CFD7-F0D0-480B-A45C-A47792CB35A2}"/>
    <cellStyle name="40% - Accent5" xfId="32" builtinId="47" customBuiltin="1"/>
    <cellStyle name="40% - Accent5 10" xfId="537" xr:uid="{EB8CFCCC-FA87-4088-86D8-C5FE3928BEF4}"/>
    <cellStyle name="40% - Accent5 2" xfId="111" xr:uid="{63728235-6F67-4589-B035-D1D40E8959C2}"/>
    <cellStyle name="40% - Accent5 2 2" xfId="464" xr:uid="{6F56C8A9-3F1A-4288-AEC4-1D683382C607}"/>
    <cellStyle name="40% - Accent5 2 2 2" xfId="797" xr:uid="{5136BE56-646F-4A2D-8841-84AA1DEE6DEB}"/>
    <cellStyle name="40% - Accent5 2 3" xfId="376" xr:uid="{643AA05F-BDEE-4469-A170-817AA36EF282}"/>
    <cellStyle name="40% - Accent5 2 3 2" xfId="712" xr:uid="{10AB00C5-032C-4882-9160-E408A95032FA}"/>
    <cellStyle name="40% - Accent5 2 4" xfId="596" xr:uid="{F3D70477-8298-4E35-99E8-36122A0F46B6}"/>
    <cellStyle name="40% - Accent5 3" xfId="112" xr:uid="{14C44943-E896-4EBC-B11A-147347FCF735}"/>
    <cellStyle name="40% - Accent5 3 2" xfId="465" xr:uid="{608B028A-CD60-4390-9356-F5213BB903BD}"/>
    <cellStyle name="40% - Accent5 3 2 2" xfId="798" xr:uid="{A9627B1A-C325-453F-B0AF-F848559B5271}"/>
    <cellStyle name="40% - Accent5 3 3" xfId="377" xr:uid="{CD615179-AAF1-4099-AEB5-5A3ECE799DE5}"/>
    <cellStyle name="40% - Accent5 3 3 2" xfId="713" xr:uid="{1C200933-399C-4ED0-8840-CFBF09B2F39A}"/>
    <cellStyle name="40% - Accent5 3 4" xfId="597" xr:uid="{D255EB3F-8334-468C-AE17-59608C632BFB}"/>
    <cellStyle name="40% - Accent5 4" xfId="113" xr:uid="{3712C0CC-9004-4A00-8C13-8A0C5B22ED24}"/>
    <cellStyle name="40% - Accent5 4 2" xfId="466" xr:uid="{E1CB13EE-B054-4E86-BDAA-4CA7E8645649}"/>
    <cellStyle name="40% - Accent5 4 2 2" xfId="799" xr:uid="{3EC826F2-F37A-44A4-980E-D60E3663754C}"/>
    <cellStyle name="40% - Accent5 4 3" xfId="378" xr:uid="{2C800D82-37EB-43A3-A477-2DEC3843A801}"/>
    <cellStyle name="40% - Accent5 4 3 2" xfId="714" xr:uid="{3FB6627E-D16A-4CAD-94A9-F8EA8406B170}"/>
    <cellStyle name="40% - Accent5 4 4" xfId="598" xr:uid="{40B4D63E-1D75-43C0-8CD3-D36046D70F9C}"/>
    <cellStyle name="40% - Accent5 5" xfId="114" xr:uid="{0D3EC9CE-9F21-4780-AD6D-8B2037EC35D3}"/>
    <cellStyle name="40% - Accent5 5 2" xfId="467" xr:uid="{93489262-3F60-460E-93BD-D701C2D0D95E}"/>
    <cellStyle name="40% - Accent5 5 2 2" xfId="800" xr:uid="{EF76BBB9-44A6-4404-BF3A-F9451ECA4BC0}"/>
    <cellStyle name="40% - Accent5 5 3" xfId="379" xr:uid="{54E8755A-3DB6-4AED-BC27-9FAE61076912}"/>
    <cellStyle name="40% - Accent5 5 3 2" xfId="715" xr:uid="{0E015225-5639-4468-B905-97EEE95A1F40}"/>
    <cellStyle name="40% - Accent5 5 4" xfId="599" xr:uid="{2EF29129-9502-4CD1-8393-780DE9D88CB7}"/>
    <cellStyle name="40% - Accent5 6" xfId="115" xr:uid="{FDE339F8-E78E-47EF-865E-618C3D7C41EA}"/>
    <cellStyle name="40% - Accent5 6 2" xfId="468" xr:uid="{86878B86-F1E6-4006-B03C-CDC7B9F3641E}"/>
    <cellStyle name="40% - Accent5 6 2 2" xfId="801" xr:uid="{666C9F47-47B4-44AF-86D0-12373E50A752}"/>
    <cellStyle name="40% - Accent5 6 3" xfId="380" xr:uid="{ABE3D1CE-CCE8-4DEA-B3E2-E9B2EE6FB6EE}"/>
    <cellStyle name="40% - Accent5 6 3 2" xfId="716" xr:uid="{9DA7F623-2EA9-497C-90D7-7B2CED5FA217}"/>
    <cellStyle name="40% - Accent5 6 4" xfId="600" xr:uid="{7C180406-11DE-4451-B36B-A024DE5BBD10}"/>
    <cellStyle name="40% - Accent5 7" xfId="116" xr:uid="{E389C978-7CB0-4BE9-A678-34D0B7226A73}"/>
    <cellStyle name="40% - Accent5 7 2" xfId="469" xr:uid="{2389D7CA-845E-4888-8CC5-4DC1ACE327DA}"/>
    <cellStyle name="40% - Accent5 7 2 2" xfId="802" xr:uid="{B43638EE-E735-489A-ACA3-E4E1E5E1B2ED}"/>
    <cellStyle name="40% - Accent5 7 3" xfId="381" xr:uid="{594D7E89-854A-4CA2-BCD0-157B5ED39C05}"/>
    <cellStyle name="40% - Accent5 7 3 2" xfId="717" xr:uid="{26B7AF1D-51CA-40BC-82A7-5E296504111D}"/>
    <cellStyle name="40% - Accent5 7 4" xfId="601" xr:uid="{8C4A8F32-B083-42BF-938E-9A026A54C811}"/>
    <cellStyle name="40% - Accent5 8" xfId="117" xr:uid="{4838376C-0820-4157-8E8E-BAC58DD8A047}"/>
    <cellStyle name="40% - Accent5 8 2" xfId="470" xr:uid="{464CFDAB-282A-472F-AE14-F8A50DF653F1}"/>
    <cellStyle name="40% - Accent5 8 2 2" xfId="803" xr:uid="{2AD36316-1F3D-4616-86EE-FFB1D9A27FC1}"/>
    <cellStyle name="40% - Accent5 8 3" xfId="382" xr:uid="{2BCA9B59-6AE4-4A04-A733-06CA90D4F7BD}"/>
    <cellStyle name="40% - Accent5 8 3 2" xfId="718" xr:uid="{3476659F-5DF9-49B3-956D-AD54A415721C}"/>
    <cellStyle name="40% - Accent5 8 4" xfId="602" xr:uid="{A8018ABF-5F52-4338-A6EB-D6448231791A}"/>
    <cellStyle name="40% - Accent5 9" xfId="520" xr:uid="{7EE5F39B-BF42-4329-83B7-918F0B07F08C}"/>
    <cellStyle name="40% - Accent5 9 2" xfId="637" xr:uid="{BDEEBC95-16B7-4258-8426-88B261F44C24}"/>
    <cellStyle name="40% - Accent6" xfId="35" builtinId="51" customBuiltin="1"/>
    <cellStyle name="40% - Accent6 10" xfId="539" xr:uid="{34B8779D-D2BD-4BB8-B42C-0302499C055E}"/>
    <cellStyle name="40% - Accent6 2" xfId="118" xr:uid="{9FD498ED-5EC6-4CD3-B293-3FD8F1ED798C}"/>
    <cellStyle name="40% - Accent6 2 2" xfId="471" xr:uid="{2E97B7A5-BC6A-413A-9D5A-6E5DFE7B906E}"/>
    <cellStyle name="40% - Accent6 2 2 2" xfId="804" xr:uid="{CAD3D0C4-4849-43C2-A3AC-50200D537614}"/>
    <cellStyle name="40% - Accent6 2 3" xfId="383" xr:uid="{37A2271D-9F69-4243-B75D-3144279B7A56}"/>
    <cellStyle name="40% - Accent6 2 3 2" xfId="719" xr:uid="{1E37A101-56AA-47FB-89EA-3C7D3BF2B9F9}"/>
    <cellStyle name="40% - Accent6 2 4" xfId="603" xr:uid="{0D0032AE-8053-44C4-8850-82AAA8F8E772}"/>
    <cellStyle name="40% - Accent6 3" xfId="119" xr:uid="{D4CB3289-8216-4EB1-8B67-37F11DFAA082}"/>
    <cellStyle name="40% - Accent6 3 2" xfId="472" xr:uid="{16A900FC-0538-48E4-90AB-CDF3A6F9DA2B}"/>
    <cellStyle name="40% - Accent6 3 2 2" xfId="805" xr:uid="{CC813FB4-7C92-44D8-B34B-B1C80190DE30}"/>
    <cellStyle name="40% - Accent6 3 3" xfId="384" xr:uid="{1A8AAF36-FFEC-4E01-A0EE-C0FB81576277}"/>
    <cellStyle name="40% - Accent6 3 3 2" xfId="720" xr:uid="{FB2DCFCD-3A98-491C-B67B-A629778AF18B}"/>
    <cellStyle name="40% - Accent6 3 4" xfId="604" xr:uid="{93B65E21-9A32-4208-95F9-95410FB6DD74}"/>
    <cellStyle name="40% - Accent6 4" xfId="120" xr:uid="{0727F478-CACE-4A98-BF07-C2F09982F2CF}"/>
    <cellStyle name="40% - Accent6 4 2" xfId="473" xr:uid="{39AF7188-5A06-4932-B856-55754CC39725}"/>
    <cellStyle name="40% - Accent6 4 2 2" xfId="806" xr:uid="{C3828489-AFAD-4419-AD69-1CC7752699AF}"/>
    <cellStyle name="40% - Accent6 4 3" xfId="385" xr:uid="{F9E3ECCC-85A1-4302-9271-BF5245079D26}"/>
    <cellStyle name="40% - Accent6 4 3 2" xfId="721" xr:uid="{C77DA664-4FFB-4FE0-853F-79E43342A975}"/>
    <cellStyle name="40% - Accent6 4 4" xfId="605" xr:uid="{5255D153-A399-4963-AA9D-0D8DDF69F81C}"/>
    <cellStyle name="40% - Accent6 5" xfId="121" xr:uid="{C2A95BD3-B5F6-471F-872C-E8A4FC84F3A1}"/>
    <cellStyle name="40% - Accent6 5 2" xfId="474" xr:uid="{57BFEA12-31F8-43FE-A30B-331FC632138D}"/>
    <cellStyle name="40% - Accent6 5 2 2" xfId="807" xr:uid="{6CA28964-1856-4062-9C3E-B97952BC0571}"/>
    <cellStyle name="40% - Accent6 5 3" xfId="386" xr:uid="{FED4B0CE-5702-4101-9A32-32A96B7B503A}"/>
    <cellStyle name="40% - Accent6 5 3 2" xfId="722" xr:uid="{D01B6C78-955C-47D3-8A56-A8C9BD526436}"/>
    <cellStyle name="40% - Accent6 5 4" xfId="606" xr:uid="{C399BEBC-0C0D-48D4-A5E8-0DC7C297D992}"/>
    <cellStyle name="40% - Accent6 6" xfId="122" xr:uid="{B6C9210B-C982-4364-9E3B-803EE32343E1}"/>
    <cellStyle name="40% - Accent6 6 2" xfId="475" xr:uid="{1EF3E4AD-B6E7-4AED-A27F-B42FF3E4FE8C}"/>
    <cellStyle name="40% - Accent6 6 2 2" xfId="808" xr:uid="{CCD272A7-27E6-42C9-B705-4A87FB29B01C}"/>
    <cellStyle name="40% - Accent6 6 3" xfId="387" xr:uid="{FCE8B93B-09FB-47C3-9DA8-A0AB9DEB08E1}"/>
    <cellStyle name="40% - Accent6 6 3 2" xfId="723" xr:uid="{ED72D5DD-1846-4D65-AF8B-9B0466C0516C}"/>
    <cellStyle name="40% - Accent6 6 4" xfId="607" xr:uid="{7F9CC0F2-34F2-4B16-8C52-CA814070A156}"/>
    <cellStyle name="40% - Accent6 7" xfId="123" xr:uid="{E9CDCA69-513D-4AD0-B664-7B64FB28EB33}"/>
    <cellStyle name="40% - Accent6 7 2" xfId="476" xr:uid="{9AB95676-15A7-488D-B333-DA0BAA669B11}"/>
    <cellStyle name="40% - Accent6 7 2 2" xfId="809" xr:uid="{4FD8B2B6-ACD0-4E86-911A-377600E5D79C}"/>
    <cellStyle name="40% - Accent6 7 3" xfId="388" xr:uid="{8A48D961-B11A-4D94-BF91-F5FE7704C896}"/>
    <cellStyle name="40% - Accent6 7 3 2" xfId="724" xr:uid="{712F8B64-C6CD-429A-886E-AB209BA071F2}"/>
    <cellStyle name="40% - Accent6 7 4" xfId="608" xr:uid="{9232AD09-498C-4F1C-9903-2C31887B100D}"/>
    <cellStyle name="40% - Accent6 8" xfId="124" xr:uid="{9E141891-DC59-498A-9E6C-A2239FC50C44}"/>
    <cellStyle name="40% - Accent6 8 2" xfId="477" xr:uid="{545D0CA6-7703-4420-863C-E3917E3A1F1D}"/>
    <cellStyle name="40% - Accent6 8 2 2" xfId="810" xr:uid="{23F11AF1-B5E3-4176-B24E-59DC6FCFD793}"/>
    <cellStyle name="40% - Accent6 8 3" xfId="389" xr:uid="{A66AD6A9-B819-4093-89E9-98F4BB0ACA5F}"/>
    <cellStyle name="40% - Accent6 8 3 2" xfId="725" xr:uid="{52F64277-5AF3-4CC2-B347-2F971C7B320D}"/>
    <cellStyle name="40% - Accent6 8 4" xfId="609" xr:uid="{C0A904B5-542B-43A7-AC80-972D75E29A1E}"/>
    <cellStyle name="40% - Accent6 9" xfId="524" xr:uid="{71C48E5A-677A-497D-811D-9E60AD21C636}"/>
    <cellStyle name="40% - Accent6 9 2" xfId="639" xr:uid="{DB64929C-E372-4118-9D65-6E0B5F3FE723}"/>
    <cellStyle name="60% - Accent1 10" xfId="312" xr:uid="{E54F5698-A482-4B86-B5D9-C26904B2748C}"/>
    <cellStyle name="60% - Accent1 2" xfId="125" xr:uid="{F353D44C-F325-4DEE-8758-3EC47B867421}"/>
    <cellStyle name="60% - Accent1 3" xfId="126" xr:uid="{45E53A3F-08CC-458C-A985-7F3774306693}"/>
    <cellStyle name="60% - Accent1 4" xfId="127" xr:uid="{23E9DC35-64BA-4632-9768-1C46FF203110}"/>
    <cellStyle name="60% - Accent1 5" xfId="128" xr:uid="{BB063173-1465-4A9F-AE2B-ED8F20BC0548}"/>
    <cellStyle name="60% - Accent1 6" xfId="129" xr:uid="{D80419BA-471D-4A42-8C43-6EDB0C559CB8}"/>
    <cellStyle name="60% - Accent1 7" xfId="130" xr:uid="{0A650708-A879-46F4-83B7-32BF1F4854C8}"/>
    <cellStyle name="60% - Accent1 8" xfId="131" xr:uid="{40C0C2C9-7AEF-4077-9243-DB560157802D}"/>
    <cellStyle name="60% - Accent1 9" xfId="505" xr:uid="{58EC88C0-38B8-4707-8799-F19BA043DF26}"/>
    <cellStyle name="60% - Accent2 10" xfId="313" xr:uid="{2843CFCA-DEC1-48F2-B9E3-26719B42D737}"/>
    <cellStyle name="60% - Accent2 2" xfId="132" xr:uid="{18FA8FF7-A51F-4001-9CFB-4B535D763528}"/>
    <cellStyle name="60% - Accent2 3" xfId="133" xr:uid="{9490D102-7764-4FD4-9CD4-FBC05C3CBA79}"/>
    <cellStyle name="60% - Accent2 4" xfId="134" xr:uid="{B5BBDAA0-5679-4672-BE81-05F8DF4EFD4E}"/>
    <cellStyle name="60% - Accent2 5" xfId="135" xr:uid="{A8B9E2BC-4EDC-4AC9-A48D-07D629B1781B}"/>
    <cellStyle name="60% - Accent2 6" xfId="136" xr:uid="{D4E27FD3-DC34-4DA7-A964-9D18AEF1CF77}"/>
    <cellStyle name="60% - Accent2 7" xfId="137" xr:uid="{9698CB2E-9111-466A-8443-9D57A1C3DE1D}"/>
    <cellStyle name="60% - Accent2 8" xfId="138" xr:uid="{43863DC5-DFDE-47B6-AFCE-FC9CEB3AA812}"/>
    <cellStyle name="60% - Accent2 9" xfId="509" xr:uid="{15CAE92F-AA48-4BE6-9703-44F74880BFDB}"/>
    <cellStyle name="60% - Accent3 10" xfId="314" xr:uid="{05BDC35E-FAAF-4659-BB09-FCAD75BFA66F}"/>
    <cellStyle name="60% - Accent3 2" xfId="139" xr:uid="{AFD85BD9-1D35-414A-99ED-99321DD938B3}"/>
    <cellStyle name="60% - Accent3 3" xfId="140" xr:uid="{897F5851-691A-4609-B66E-E280CD685CE7}"/>
    <cellStyle name="60% - Accent3 4" xfId="141" xr:uid="{66E4F1DF-A507-4463-8895-C13E975D721A}"/>
    <cellStyle name="60% - Accent3 5" xfId="142" xr:uid="{043CBB5A-B789-4E7B-B603-6108A3756FFD}"/>
    <cellStyle name="60% - Accent3 6" xfId="143" xr:uid="{4447325A-76D4-4508-AFF6-3B1A9C9E5616}"/>
    <cellStyle name="60% - Accent3 7" xfId="144" xr:uid="{0A2244A1-B8B1-4119-BB17-ADC4DC87B38A}"/>
    <cellStyle name="60% - Accent3 8" xfId="145" xr:uid="{9256B4DD-1459-4558-A420-B311A89945DA}"/>
    <cellStyle name="60% - Accent3 9" xfId="513" xr:uid="{76CDEA48-8074-4D38-93A7-87CD9980A358}"/>
    <cellStyle name="60% - Accent4 10" xfId="315" xr:uid="{EFD13082-C439-436A-869B-EAC74C46F4B1}"/>
    <cellStyle name="60% - Accent4 2" xfId="146" xr:uid="{DC90F17B-53F2-4E14-8DBE-230BA767644C}"/>
    <cellStyle name="60% - Accent4 3" xfId="147" xr:uid="{96E35ACE-3960-4A0D-B143-A2046A23F726}"/>
    <cellStyle name="60% - Accent4 4" xfId="148" xr:uid="{965B3203-C30D-4479-A72D-38851E35E656}"/>
    <cellStyle name="60% - Accent4 5" xfId="149" xr:uid="{D3228680-8472-4AC1-B75A-5CFDE927D08A}"/>
    <cellStyle name="60% - Accent4 6" xfId="150" xr:uid="{F171149B-BC08-4F41-A9E7-AC056B0D0403}"/>
    <cellStyle name="60% - Accent4 7" xfId="151" xr:uid="{963A246B-8998-4457-B5BE-43FFBA8AF067}"/>
    <cellStyle name="60% - Accent4 8" xfId="152" xr:uid="{E72B9BCC-88A1-47BA-A641-EEBD78D352D5}"/>
    <cellStyle name="60% - Accent4 9" xfId="517" xr:uid="{1B2E59B6-BF48-4BF3-854E-2E80A49382CA}"/>
    <cellStyle name="60% - Accent5 10" xfId="316" xr:uid="{4ED7756B-9EFB-4950-B509-0C3E9CD749CC}"/>
    <cellStyle name="60% - Accent5 2" xfId="153" xr:uid="{D1A90A2F-D452-40F5-98BC-52E9C3036254}"/>
    <cellStyle name="60% - Accent5 3" xfId="154" xr:uid="{1F150E8A-070E-435B-8632-704B3BE9C5F0}"/>
    <cellStyle name="60% - Accent5 4" xfId="155" xr:uid="{7CF9AE6B-5901-4D75-B9F6-4000FDF7995E}"/>
    <cellStyle name="60% - Accent5 5" xfId="156" xr:uid="{42679CC8-3618-4DE6-A896-E7E814769102}"/>
    <cellStyle name="60% - Accent5 6" xfId="157" xr:uid="{410F2422-0A60-4FDE-818A-BBEAC1DE164B}"/>
    <cellStyle name="60% - Accent5 7" xfId="158" xr:uid="{4F093039-177F-41F7-80C2-EC174995A3EF}"/>
    <cellStyle name="60% - Accent5 8" xfId="159" xr:uid="{531DC6AB-FD67-49BF-A085-605C889131F3}"/>
    <cellStyle name="60% - Accent5 9" xfId="521" xr:uid="{4000DF14-86AB-4AE8-A00C-DFFEC8E0B0C1}"/>
    <cellStyle name="60% - Accent6 10" xfId="317" xr:uid="{EC4A8ADD-4C06-488A-A119-BBD0F4A18734}"/>
    <cellStyle name="60% - Accent6 2" xfId="160" xr:uid="{FDE8E727-3583-4D00-B2B6-8EF06099EFD0}"/>
    <cellStyle name="60% - Accent6 3" xfId="161" xr:uid="{11E29911-7A36-41C9-BB3A-AF42F6A5BB72}"/>
    <cellStyle name="60% - Accent6 4" xfId="162" xr:uid="{63176953-4FB1-4A5A-B464-79F28A5E6232}"/>
    <cellStyle name="60% - Accent6 5" xfId="163" xr:uid="{9FE59827-C18D-4640-89BA-AC9913734DF1}"/>
    <cellStyle name="60% - Accent6 6" xfId="164" xr:uid="{EBECF4AA-9A96-4820-90CA-F13E821A38DF}"/>
    <cellStyle name="60% - Accent6 7" xfId="165" xr:uid="{B0DCCCF2-ED7F-4944-BDD5-0065AA06E5F9}"/>
    <cellStyle name="60% - Accent6 8" xfId="166" xr:uid="{7FFF0F85-DD12-48D7-91A7-F1ED4BBAA705}"/>
    <cellStyle name="60% - Accent6 9" xfId="525" xr:uid="{C78A9131-64BF-4184-847B-D5BBA2EA0C42}"/>
    <cellStyle name="Accent1" xfId="18" builtinId="29" customBuiltin="1"/>
    <cellStyle name="Accent1 2" xfId="167" xr:uid="{02FCD3E5-1633-4230-8517-358E2FC93E9A}"/>
    <cellStyle name="Accent1 3" xfId="168" xr:uid="{8E1563DC-A729-467F-96E9-26B39B32B95E}"/>
    <cellStyle name="Accent1 4" xfId="169" xr:uid="{61C959EF-F77F-42C8-B347-0B12EDE0284D}"/>
    <cellStyle name="Accent1 5" xfId="170" xr:uid="{89B11D03-C270-481B-AFFA-FAE27935BFB0}"/>
    <cellStyle name="Accent1 6" xfId="171" xr:uid="{D67A4CD3-3FD5-4B00-9E59-49B04D48CCF9}"/>
    <cellStyle name="Accent1 7" xfId="172" xr:uid="{09902E59-E5D5-407D-A6DF-22C54996A224}"/>
    <cellStyle name="Accent1 8" xfId="173" xr:uid="{A6CFA80B-4F5C-421F-8BCC-69F61988F235}"/>
    <cellStyle name="Accent1 9" xfId="502" xr:uid="{8989B8DE-B55F-48D9-B94B-DFBE81FEB278}"/>
    <cellStyle name="Accent2" xfId="21" builtinId="33" customBuiltin="1"/>
    <cellStyle name="Accent2 2" xfId="174" xr:uid="{D229F692-CC16-41CD-A832-8D455F108B30}"/>
    <cellStyle name="Accent2 3" xfId="175" xr:uid="{4F5A6CB0-3390-49A7-847F-7D70CE16BC4E}"/>
    <cellStyle name="Accent2 4" xfId="176" xr:uid="{6F8A890D-0115-4C6F-BE13-94A67AD19E18}"/>
    <cellStyle name="Accent2 5" xfId="177" xr:uid="{2BAE383D-9036-43B7-A732-1269AE135BCE}"/>
    <cellStyle name="Accent2 6" xfId="178" xr:uid="{C9708994-726E-4BF9-B17B-B3221FC1C1D5}"/>
    <cellStyle name="Accent2 7" xfId="179" xr:uid="{18F7DF9C-740A-4806-9BFB-9E185A3E1E75}"/>
    <cellStyle name="Accent2 8" xfId="180" xr:uid="{F8847B93-D264-412E-B675-820D7F0BCE79}"/>
    <cellStyle name="Accent2 9" xfId="506" xr:uid="{F1465C6F-034F-4634-A7BE-AD46D739639D}"/>
    <cellStyle name="Accent3" xfId="24" builtinId="37" customBuiltin="1"/>
    <cellStyle name="Accent3 2" xfId="181" xr:uid="{FF2A2288-A1C0-4DE1-899C-AC97637D46E0}"/>
    <cellStyle name="Accent3 3" xfId="182" xr:uid="{1FD9F1E1-3BC1-40F0-A1AF-18D5A2FDCB3D}"/>
    <cellStyle name="Accent3 4" xfId="183" xr:uid="{A5A50CD4-1CD3-45CF-AF35-E5FAAEC91DDC}"/>
    <cellStyle name="Accent3 5" xfId="184" xr:uid="{65605747-348A-43E8-9A17-1B195E9D7BD8}"/>
    <cellStyle name="Accent3 6" xfId="185" xr:uid="{F4731CE7-ACF1-4258-8544-5C6BA8773B48}"/>
    <cellStyle name="Accent3 7" xfId="186" xr:uid="{C0E6B91B-21DC-4967-B670-28523F4E8B25}"/>
    <cellStyle name="Accent3 8" xfId="187" xr:uid="{3C517D08-7746-4F16-8D0A-BE0657A7DADD}"/>
    <cellStyle name="Accent3 9" xfId="510" xr:uid="{A2A8A60C-F989-434F-AC21-F6B2FD8C1456}"/>
    <cellStyle name="Accent4" xfId="27" builtinId="41" customBuiltin="1"/>
    <cellStyle name="Accent4 2" xfId="188" xr:uid="{5E953A08-406F-4AB1-B258-2E08D93D36DD}"/>
    <cellStyle name="Accent4 3" xfId="189" xr:uid="{885CDF7E-A508-4863-BF75-5180B8AE0338}"/>
    <cellStyle name="Accent4 4" xfId="190" xr:uid="{343233C1-C646-4016-A0E8-F84FF99C4D6C}"/>
    <cellStyle name="Accent4 5" xfId="191" xr:uid="{7FEDA56E-35AB-4D40-B267-107BF43CCD2A}"/>
    <cellStyle name="Accent4 6" xfId="192" xr:uid="{B1B6D319-AE8E-4491-8063-AA11DF80F074}"/>
    <cellStyle name="Accent4 7" xfId="193" xr:uid="{099C077A-BCC4-4A87-B845-464E9F135E19}"/>
    <cellStyle name="Accent4 8" xfId="194" xr:uid="{7C7E8299-EB8D-45F4-9075-C3D2499077D6}"/>
    <cellStyle name="Accent4 9" xfId="514" xr:uid="{A6718D70-5C95-4EAC-9698-376DB4145181}"/>
    <cellStyle name="Accent5" xfId="30" builtinId="45" customBuiltin="1"/>
    <cellStyle name="Accent5 2" xfId="518" xr:uid="{DC6CFC88-A982-4DED-A8B4-47A17CC11363}"/>
    <cellStyle name="Accent6" xfId="33" builtinId="49" customBuiltin="1"/>
    <cellStyle name="Accent6 2" xfId="195" xr:uid="{B3822BBE-0DAB-49A9-A649-5B147F732FB7}"/>
    <cellStyle name="Accent6 3" xfId="196" xr:uid="{56625F64-C61F-4D3C-8332-6D6D1BF80045}"/>
    <cellStyle name="Accent6 4" xfId="197" xr:uid="{112E2A76-A779-4A16-8967-40586F662C34}"/>
    <cellStyle name="Accent6 5" xfId="198" xr:uid="{79EC34E3-D33E-44ED-93EE-3598F43C9657}"/>
    <cellStyle name="Accent6 6" xfId="199" xr:uid="{FB33E5E9-A2D1-4156-95A9-7B50B8C1DDE4}"/>
    <cellStyle name="Accent6 7" xfId="200" xr:uid="{4694192C-060A-446F-B418-18CFDA57A733}"/>
    <cellStyle name="Accent6 8" xfId="201" xr:uid="{1AC98B0A-27EC-49F6-8857-F67CD2BE7F5C}"/>
    <cellStyle name="Accent6 9" xfId="522" xr:uid="{1651B8C0-9B97-4165-AEC7-D026EFBCAD6C}"/>
    <cellStyle name="Bad" xfId="9" builtinId="27" customBuiltin="1"/>
    <cellStyle name="Bad 2" xfId="202" xr:uid="{A9EB30F5-ADA7-4642-84BC-41394324E3CD}"/>
    <cellStyle name="Bad 3" xfId="203" xr:uid="{93EBC2DF-7199-422F-9871-3E5A3F0A6E62}"/>
    <cellStyle name="Bad 4" xfId="204" xr:uid="{FC600D3B-C732-49A2-93A0-390A169795A3}"/>
    <cellStyle name="Bad 5" xfId="205" xr:uid="{8EEA7796-4E52-43BC-8462-CEA93D624BF0}"/>
    <cellStyle name="Bad 6" xfId="206" xr:uid="{E5131768-7186-46B0-AE29-7B76BA610398}"/>
    <cellStyle name="Bad 7" xfId="207" xr:uid="{55CE26A6-FD88-4AA6-B5C8-24DCC3D65D7D}"/>
    <cellStyle name="Bad 8" xfId="208" xr:uid="{E4A2A8C7-D1D2-4264-A269-B79C2A9F6820}"/>
    <cellStyle name="Bad 9" xfId="492" xr:uid="{B81562C2-BCBB-4B19-AD0A-FF2DF4D9A859}"/>
    <cellStyle name="Calculation" xfId="12" builtinId="22" customBuiltin="1"/>
    <cellStyle name="Calculation 2" xfId="209" xr:uid="{F5E97723-A55D-4EDD-B180-14E49A67C921}"/>
    <cellStyle name="Calculation 3" xfId="210" xr:uid="{A1596BEF-0F43-44A1-A951-56CF102E4BD6}"/>
    <cellStyle name="Calculation 4" xfId="211" xr:uid="{A0E27F4B-F5C8-43C8-BD37-212A53C28600}"/>
    <cellStyle name="Calculation 5" xfId="212" xr:uid="{541F93F4-6B83-48AA-AB0A-F52119ACFA21}"/>
    <cellStyle name="Calculation 6" xfId="213" xr:uid="{A6A400C0-FB5E-4E92-AD51-918C768B3898}"/>
    <cellStyle name="Calculation 7" xfId="214" xr:uid="{320B396D-E92C-4928-A2D0-B087D9F87D68}"/>
    <cellStyle name="Calculation 8" xfId="215" xr:uid="{388A49B7-7FEC-416D-B572-5A3B3D0203C3}"/>
    <cellStyle name="Calculation 9" xfId="496" xr:uid="{1A968347-F926-4DE7-99B7-2EECF051809D}"/>
    <cellStyle name="Check Cell" xfId="14" builtinId="23" customBuiltin="1"/>
    <cellStyle name="Check Cell 2" xfId="498" xr:uid="{A3401FC3-2F34-40BA-98DA-C5DE186BD955}"/>
    <cellStyle name="Comma 2" xfId="39" xr:uid="{9CDDE43B-421F-44F2-B1F7-AC67CDECFDAF}"/>
    <cellStyle name="Comma 2 2" xfId="643" xr:uid="{613F582E-456B-4623-ACF8-1E5740497D31}"/>
    <cellStyle name="Comma 2 3" xfId="620" xr:uid="{CA744263-72DD-4808-B194-4C0D61226B16}"/>
    <cellStyle name="Comma 3" xfId="621" xr:uid="{D525B57B-49B2-4C1D-BDC4-05F0BC8D6021}"/>
    <cellStyle name="Currency" xfId="819" builtinId="4"/>
    <cellStyle name="Currency 2" xfId="40" xr:uid="{C1908685-87D7-4BFC-871A-35880CEFBFDD}"/>
    <cellStyle name="Currency 2 2" xfId="622" xr:uid="{82303FB9-2A0C-43C2-BE9D-8CE3DBDEFBD9}"/>
    <cellStyle name="Currency 2 3" xfId="644" xr:uid="{9931B67C-9890-4A7E-B2BB-F016654A98C9}"/>
    <cellStyle name="Currency 2 4" xfId="617" xr:uid="{E35F8A7B-97B5-4845-9461-99AF54C66A93}"/>
    <cellStyle name="Currency 3" xfId="42" xr:uid="{FBFA1434-B4DB-4A55-A876-627D872C9297}"/>
    <cellStyle name="Currency 3 2" xfId="400" xr:uid="{A5505A5A-4653-4621-9B28-1CD86916B826}"/>
    <cellStyle name="Currency 3 2 2" xfId="735" xr:uid="{C12D8D90-04F7-4469-82CA-538F7E301F5D}"/>
    <cellStyle name="Currency 3 3" xfId="653" xr:uid="{023E2218-6AE0-434D-8735-0E62675CD518}"/>
    <cellStyle name="Currency 4" xfId="397" xr:uid="{CDA787EF-F10A-4E40-AB86-83A0BA29AE84}"/>
    <cellStyle name="Currency 5" xfId="640" xr:uid="{D8234561-0DB3-48BE-AB31-49BF210A8AD0}"/>
    <cellStyle name="Currency 6" xfId="37" xr:uid="{05C6984A-DA5F-4880-BA7E-A1BEA96D01D1}"/>
    <cellStyle name="Explanatory Text" xfId="16" builtinId="53" customBuiltin="1"/>
    <cellStyle name="Explanatory Text 2" xfId="500" xr:uid="{3B7782C7-36BC-4647-91F0-386BF7159F0A}"/>
    <cellStyle name="Good" xfId="8" builtinId="26" customBuiltin="1"/>
    <cellStyle name="Good 2" xfId="216" xr:uid="{B13A6FB4-469B-460F-9D7D-EB0E1E923B74}"/>
    <cellStyle name="Good 3" xfId="217" xr:uid="{BE1FE176-FC87-4225-AA87-0F1F66621146}"/>
    <cellStyle name="Good 4" xfId="218" xr:uid="{2593BD1F-6ADC-4F6B-BC9D-79BBDF89702A}"/>
    <cellStyle name="Good 5" xfId="219" xr:uid="{7B69882A-6CA5-4FCB-9ACF-33E286A5555E}"/>
    <cellStyle name="Good 6" xfId="220" xr:uid="{8AEBD887-0069-4F64-AC25-A956725F4B74}"/>
    <cellStyle name="Good 7" xfId="221" xr:uid="{3C839F45-07DC-48C3-9540-71129B13C0BE}"/>
    <cellStyle name="Good 8" xfId="222" xr:uid="{EFAF0FE6-23A1-4E95-8DDD-CB2E39370936}"/>
    <cellStyle name="Good 9" xfId="491" xr:uid="{59080005-BC2D-49A3-8C0F-3729C9036317}"/>
    <cellStyle name="Heading 1" xfId="4" builtinId="16" customBuiltin="1"/>
    <cellStyle name="Heading 1 2" xfId="223" xr:uid="{F8DFCAA1-881E-4307-BDF5-96373AA2FACB}"/>
    <cellStyle name="Heading 1 3" xfId="224" xr:uid="{6FA013B1-B143-4AA8-B265-6D46AB2A1E1F}"/>
    <cellStyle name="Heading 1 4" xfId="225" xr:uid="{BA4D33BE-FEE0-4589-99C4-48986AE14CBC}"/>
    <cellStyle name="Heading 1 5" xfId="226" xr:uid="{6DC4457C-0D24-4EE9-A569-FC3C2732858F}"/>
    <cellStyle name="Heading 1 6" xfId="227" xr:uid="{EB317123-860F-422F-9DCE-8ECCC10E6015}"/>
    <cellStyle name="Heading 1 7" xfId="228" xr:uid="{7844E58C-46B9-486D-A8D2-EF0DC6F8E182}"/>
    <cellStyle name="Heading 1 8" xfId="229" xr:uid="{4AFB39B7-89D6-43B5-872A-A25C17CCB00F}"/>
    <cellStyle name="Heading 1 9" xfId="487" xr:uid="{17BD5F84-2498-4533-A8BB-4A0207D9FCFE}"/>
    <cellStyle name="Heading 2" xfId="5" builtinId="17" customBuiltin="1"/>
    <cellStyle name="Heading 2 2" xfId="230" xr:uid="{60711604-1833-4535-AB2F-89E9D7173CF0}"/>
    <cellStyle name="Heading 2 3" xfId="231" xr:uid="{B5A4B127-DB8B-4A3E-9162-7598DB5FC6E7}"/>
    <cellStyle name="Heading 2 4" xfId="232" xr:uid="{D2A56964-3018-4455-8AA3-15F595500449}"/>
    <cellStyle name="Heading 2 5" xfId="233" xr:uid="{3786BB3A-CCA9-4F9A-B7AF-27F0602255FF}"/>
    <cellStyle name="Heading 2 6" xfId="234" xr:uid="{EE5B63A0-6139-419B-A428-A760136FA33A}"/>
    <cellStyle name="Heading 2 7" xfId="235" xr:uid="{F48813AF-6522-49AF-8F0C-C0806E8502A9}"/>
    <cellStyle name="Heading 2 8" xfId="236" xr:uid="{5FD366EA-AF2E-4AE9-AEA6-11679A624D18}"/>
    <cellStyle name="Heading 2 9" xfId="488" xr:uid="{C8276695-CE95-470D-BFBD-05995E98ECC4}"/>
    <cellStyle name="Heading 3" xfId="6" builtinId="18" customBuiltin="1"/>
    <cellStyle name="Heading 3 2" xfId="237" xr:uid="{2FB7B4D0-24AF-4169-B542-3DFD2A9ACA87}"/>
    <cellStyle name="Heading 3 3" xfId="238" xr:uid="{C85A28F8-A7C5-45F6-89AF-60908C4D2553}"/>
    <cellStyle name="Heading 3 4" xfId="239" xr:uid="{703E106E-9AF0-4AD2-AEA5-8180DF9B4ED6}"/>
    <cellStyle name="Heading 3 5" xfId="240" xr:uid="{3DA923AE-FFE3-48F8-9831-8EF20BEFF39D}"/>
    <cellStyle name="Heading 3 6" xfId="241" xr:uid="{9FB8F094-DE47-4E05-B44F-C895364A909E}"/>
    <cellStyle name="Heading 3 7" xfId="242" xr:uid="{81B153F5-2044-4111-B9D9-5930471422A7}"/>
    <cellStyle name="Heading 3 8" xfId="243" xr:uid="{71C0CCBF-F10A-4B02-A227-E4B3AD7EDC13}"/>
    <cellStyle name="Heading 3 9" xfId="489" xr:uid="{43A2AAED-65B8-4DE5-8351-1D9558814071}"/>
    <cellStyle name="Heading 4" xfId="7" builtinId="19" customBuiltin="1"/>
    <cellStyle name="Heading 4 2" xfId="244" xr:uid="{6928C458-D9CE-4ED5-8142-971FF8ED7991}"/>
    <cellStyle name="Heading 4 3" xfId="245" xr:uid="{A61E57E3-4238-4416-82A6-FD87615381A6}"/>
    <cellStyle name="Heading 4 4" xfId="246" xr:uid="{8CC89121-17A7-4F27-84D6-8D2A7CCC4E05}"/>
    <cellStyle name="Heading 4 5" xfId="247" xr:uid="{6D56F149-D50E-49CC-A5C8-50BA70CE9374}"/>
    <cellStyle name="Heading 4 6" xfId="248" xr:uid="{018304DC-7885-4010-905D-B22356350F66}"/>
    <cellStyle name="Heading 4 7" xfId="249" xr:uid="{488D38C1-035E-4128-83F6-B2F8FAABC083}"/>
    <cellStyle name="Heading 4 8" xfId="250" xr:uid="{3113E054-7268-4790-B620-FB9A078BFC90}"/>
    <cellStyle name="Heading 4 9" xfId="490" xr:uid="{4C30666C-F7D5-4F44-A3DB-0C3369E1EF4E}"/>
    <cellStyle name="Hyperlink" xfId="820" builtinId="8"/>
    <cellStyle name="Input" xfId="10" builtinId="20" customBuiltin="1"/>
    <cellStyle name="Input 2" xfId="251" xr:uid="{AB599095-12B9-4FC2-B59D-95057BAE0672}"/>
    <cellStyle name="Input 3" xfId="252" xr:uid="{A5CEF934-D98C-4C54-B85A-5686651B83FA}"/>
    <cellStyle name="Input 4" xfId="253" xr:uid="{03CDE8DF-A00F-4FC7-A4BE-FECC36AD2DB9}"/>
    <cellStyle name="Input 5" xfId="254" xr:uid="{523EC8E1-0FD9-4890-998B-4DD084C7B0C0}"/>
    <cellStyle name="Input 6" xfId="255" xr:uid="{2378B6A9-0BB2-4546-B41A-09C5C160127E}"/>
    <cellStyle name="Input 7" xfId="256" xr:uid="{99139A0E-0DD7-458E-85E2-00796488E02B}"/>
    <cellStyle name="Input 8" xfId="257" xr:uid="{AA88A26C-A624-4F6E-98DF-D7F877C303DB}"/>
    <cellStyle name="Input 9" xfId="494" xr:uid="{1672B288-3F2E-451B-86AF-A8C8B3F8E3BB}"/>
    <cellStyle name="Linked Cell" xfId="13" builtinId="24" customBuiltin="1"/>
    <cellStyle name="Linked Cell 2" xfId="258" xr:uid="{B33DCF84-7ABA-4E6C-BE3B-98B63F03A5DC}"/>
    <cellStyle name="Linked Cell 3" xfId="259" xr:uid="{20D44C43-4352-4E97-9C87-9EB1B75AF3FD}"/>
    <cellStyle name="Linked Cell 4" xfId="260" xr:uid="{ED7EECB7-D3D8-46DB-BC67-4F79A5AC12BB}"/>
    <cellStyle name="Linked Cell 5" xfId="261" xr:uid="{5A9FCF47-5E6E-4C35-8C7F-D94C8EA3F389}"/>
    <cellStyle name="Linked Cell 6" xfId="262" xr:uid="{128C54BA-887A-44DE-950B-F9E433DB404C}"/>
    <cellStyle name="Linked Cell 7" xfId="263" xr:uid="{96744B3A-45C8-4744-9FC9-E528AB3E261B}"/>
    <cellStyle name="Linked Cell 8" xfId="264" xr:uid="{6EB04615-CBBB-4B89-A7D0-5DBDD0395A5E}"/>
    <cellStyle name="Linked Cell 9" xfId="497" xr:uid="{3CD176C3-52FE-4C63-A6E7-591420D40935}"/>
    <cellStyle name="Neutral 10" xfId="311" xr:uid="{6B286B04-6312-4A49-B7C3-15227C5FBDD8}"/>
    <cellStyle name="Neutral 2" xfId="265" xr:uid="{65A4A137-4731-416D-A14F-453F7B5C44A3}"/>
    <cellStyle name="Neutral 3" xfId="266" xr:uid="{2BF1E4AA-D055-411D-8D6A-876AFDE71EEA}"/>
    <cellStyle name="Neutral 4" xfId="267" xr:uid="{57ED1EED-87A4-4BEC-A7FB-E19F74D36973}"/>
    <cellStyle name="Neutral 5" xfId="268" xr:uid="{D754EA04-5730-4E01-B719-CFE2BA229F9D}"/>
    <cellStyle name="Neutral 6" xfId="269" xr:uid="{A0240E4A-C331-44C1-8590-886F5B80E84F}"/>
    <cellStyle name="Neutral 7" xfId="270" xr:uid="{B0373C05-63D8-4D75-A1F4-AA22CB112EFC}"/>
    <cellStyle name="Neutral 8" xfId="271" xr:uid="{3EB790FA-95A1-4CE3-8905-C6DB532417FB}"/>
    <cellStyle name="Neutral 9" xfId="493" xr:uid="{564BE139-1378-4ADB-BBA8-00CE177F43A6}"/>
    <cellStyle name="Normal" xfId="0" builtinId="0"/>
    <cellStyle name="Normal 10" xfId="3" xr:uid="{00000000-0005-0000-0000-000002000000}"/>
    <cellStyle name="Normal 10 2" xfId="398" xr:uid="{E49F22D6-7B8F-44C7-97A7-BCB11CF775A2}"/>
    <cellStyle name="Normal 10 2 2" xfId="733" xr:uid="{8C8B77C8-4CDA-4487-8363-FED8933199FE}"/>
    <cellStyle name="Normal 10 3" xfId="641" xr:uid="{939CB4A7-9CA7-419B-817F-A1DB32F7D64F}"/>
    <cellStyle name="Normal 11" xfId="318" xr:uid="{B47201DA-83FE-4F07-BCA2-A4392CE5E920}"/>
    <cellStyle name="Normal 11 2" xfId="654" xr:uid="{BAE1CE34-B013-4076-98C8-F7D40B96F635}"/>
    <cellStyle name="Normal 12" xfId="486" xr:uid="{57DF1149-1215-4819-99DF-D4A37592AA12}"/>
    <cellStyle name="Normal 13" xfId="626" xr:uid="{086E5D4B-EDAB-4636-99BB-DB2E7B780F44}"/>
    <cellStyle name="Normal 14" xfId="526" xr:uid="{C7F1638C-BED6-406E-B229-F46C0F0E957B}"/>
    <cellStyle name="Normal 15" xfId="36" xr:uid="{F57236A7-5CDD-4C6B-A9D8-03F21F72CE75}"/>
    <cellStyle name="Normal 18" xfId="272" xr:uid="{2B0F8DB4-C9E7-44C0-9A5D-1F634E9AB617}"/>
    <cellStyle name="Normal 2" xfId="1" xr:uid="{00000000-0005-0000-0000-000003000000}"/>
    <cellStyle name="Normal 2 10" xfId="273" xr:uid="{154438D6-72BD-4A25-997D-56483285F2EA}"/>
    <cellStyle name="Normal 2 2" xfId="41" xr:uid="{83DDDE50-2557-4D20-88EB-324357795A54}"/>
    <cellStyle name="Normal 2 2 2" xfId="274" xr:uid="{B03D2F1E-B52B-41FF-B22A-DFA81E11FBA4}"/>
    <cellStyle name="Normal 2 2 3" xfId="52" xr:uid="{F6B7FD8C-9969-4C1F-9BA2-77D8ACE0B2DB}"/>
    <cellStyle name="Normal 2 2 3 2" xfId="649" xr:uid="{5997BE05-A0E9-4C58-B577-7C20DEEB118C}"/>
    <cellStyle name="Normal 2 2 3 3" xfId="618" xr:uid="{69909D77-F2A7-4C7E-A367-5F30299D0047}"/>
    <cellStyle name="Normal 2 3" xfId="275" xr:uid="{D4DA484F-B5FF-49A5-8B5E-9E28D7D6F690}"/>
    <cellStyle name="Normal 2 3 2" xfId="478" xr:uid="{E3A1FB67-15B9-477E-B89E-A24C4E410655}"/>
    <cellStyle name="Normal 2 3 2 2" xfId="811" xr:uid="{A27A360E-BA88-4E04-8644-A2A3FBB5EFF8}"/>
    <cellStyle name="Normal 2 3 3" xfId="390" xr:uid="{8304D6DB-B616-401D-B97C-535E5983BF5A}"/>
    <cellStyle name="Normal 2 3 3 2" xfId="726" xr:uid="{49B13308-ADEC-421C-86BF-8ECF15541652}"/>
    <cellStyle name="Normal 2 3 4" xfId="610" xr:uid="{6BC40F1D-EBAA-453F-9169-2DEF361C7191}"/>
    <cellStyle name="Normal 2 4" xfId="276" xr:uid="{A36F2385-69AE-42C1-96D6-303C7C4A28A0}"/>
    <cellStyle name="Normal 2 5" xfId="47" xr:uid="{3DF2B445-0A6D-4BF1-8781-F8ACB6155F90}"/>
    <cellStyle name="Normal 26" xfId="277" xr:uid="{E613532D-2BDC-4142-995C-4CE835B95FF4}"/>
    <cellStyle name="Normal 3" xfId="2" xr:uid="{00000000-0005-0000-0000-000004000000}"/>
    <cellStyle name="Normal 3 2" xfId="53" xr:uid="{C43EF946-53D1-44D0-9113-D5E30265906A}"/>
    <cellStyle name="Normal 3 3" xfId="48" xr:uid="{C67D054C-EF58-44E0-BFE0-7AB4A571ADD1}"/>
    <cellStyle name="Normal 3 3 2" xfId="647" xr:uid="{3D6852A5-A906-45B1-8799-D7FE95F2BCDF}"/>
    <cellStyle name="Normal 3 3 3" xfId="619" xr:uid="{566BA9A7-12C8-4661-A82E-93F7BCC605E3}"/>
    <cellStyle name="Normal 3 4" xfId="399" xr:uid="{3F3C736A-531B-4B0D-BB4B-7FF41831BD70}"/>
    <cellStyle name="Normal 3 4 2" xfId="734" xr:uid="{2DA32C2C-A067-4A52-885F-A23BBDE7A348}"/>
    <cellStyle name="Normal 3 5" xfId="642" xr:uid="{94DAFF36-6774-4E5F-9CAB-B6395CAD173E}"/>
    <cellStyle name="Normal 3 6" xfId="38" xr:uid="{228AA0D6-78D8-4AC1-8177-65B74EF3C929}"/>
    <cellStyle name="Normal 4" xfId="45" xr:uid="{2A0DE8C3-F06E-41AE-92FC-45D48B988B40}"/>
    <cellStyle name="Normal 4 2" xfId="54" xr:uid="{2A0735FF-2BFC-4136-885A-C594C9B2D024}"/>
    <cellStyle name="Normal 4 3" xfId="49" xr:uid="{AC9EC6BE-493B-4AF8-8A08-2C9481EC55FF}"/>
    <cellStyle name="Normal 4 3 2" xfId="648" xr:uid="{04384044-496F-422A-8C00-F01C64FC832B}"/>
    <cellStyle name="Normal 4 3 3" xfId="623" xr:uid="{83D0AA35-DFA0-4AC7-A10B-014508E2802F}"/>
    <cellStyle name="Normal 4 4" xfId="403" xr:uid="{E2BFE72B-E5A3-4A63-B49C-6E6114F7483D}"/>
    <cellStyle name="Normal 4 4 2" xfId="737" xr:uid="{612C06E2-9DEE-4F81-B0AF-B6BDC7B6D564}"/>
    <cellStyle name="Normal 4 5" xfId="652" xr:uid="{B159368E-FECE-4D14-8234-A6245E946283}"/>
    <cellStyle name="Normal 5" xfId="46" xr:uid="{6552149E-0E24-42CE-8C7C-8FF58F603C53}"/>
    <cellStyle name="Normal 5 2" xfId="50" xr:uid="{4B3B261F-5C8C-4B15-AB27-843B958DD59D}"/>
    <cellStyle name="Normal 5 3" xfId="278" xr:uid="{999736F6-68A5-4D0C-98A6-7988CAE214C1}"/>
    <cellStyle name="Normal 5 4" xfId="404" xr:uid="{1F1F68AC-73A9-430B-A6C2-949732FE3588}"/>
    <cellStyle name="Normal 5 4 2" xfId="738" xr:uid="{ECDE66BB-CCF1-447E-A48A-F39FA8DF9C4C}"/>
    <cellStyle name="Normal 5 5" xfId="646" xr:uid="{D0805392-73F8-4AA8-AC67-122281508C09}"/>
    <cellStyle name="Normal 6" xfId="51" xr:uid="{843688DD-1D0B-418B-8B17-5EAD8DF5A79E}"/>
    <cellStyle name="Normal 7" xfId="308" xr:uid="{B90A7934-F07F-4B31-88BE-355A5EBB6399}"/>
    <cellStyle name="Normal 7 2" xfId="405" xr:uid="{A58DBA08-C535-46DD-9D49-7EC18EDBDDBA}"/>
    <cellStyle name="Normal 7 2 2" xfId="624" xr:uid="{B4A3BB9C-3A9D-4C9E-ABBF-D1F32D1C78ED}"/>
    <cellStyle name="Normal 7 3" xfId="625" xr:uid="{CE60684D-90B3-4197-B5B2-5C9FE599CAB0}"/>
    <cellStyle name="Normal 8" xfId="309" xr:uid="{007BD788-F565-469C-B7EB-B9DB719AEC56}"/>
    <cellStyle name="Normal 8 2" xfId="406" xr:uid="{AE211AFE-825F-4411-8B4C-2C4BFDA722D1}"/>
    <cellStyle name="Normal 8 2 2" xfId="739" xr:uid="{C080E7B0-D168-4222-8079-2E7FA4BB83A2}"/>
    <cellStyle name="Normal 8 3" xfId="650" xr:uid="{9384F910-3F54-4676-A157-DBC2675BEFA8}"/>
    <cellStyle name="Normal 9" xfId="407" xr:uid="{D28C6643-FBDE-468B-BA68-638065085EC6}"/>
    <cellStyle name="Normal 9 2" xfId="740" xr:uid="{7A40BFC5-BC5B-4CC8-817F-F7BA7675E696}"/>
    <cellStyle name="Note 10" xfId="319" xr:uid="{2DB605AA-072F-4C51-AC30-252FBF7FB758}"/>
    <cellStyle name="Note 10 2" xfId="655" xr:uid="{BD042E10-ECF6-4E61-9D13-9D82ED971E2C}"/>
    <cellStyle name="Note 11" xfId="527" xr:uid="{C88D15D3-870C-458C-A726-8AD0CA0EC0DD}"/>
    <cellStyle name="Note 2" xfId="279" xr:uid="{FABC3352-BD6A-48F0-AF7F-ED7E918D235A}"/>
    <cellStyle name="Note 2 2" xfId="479" xr:uid="{91E0CF7D-3183-4101-AB0F-40AE7338E4C7}"/>
    <cellStyle name="Note 2 2 2" xfId="812" xr:uid="{EB17B710-9C46-45C1-93D0-638EED7804F1}"/>
    <cellStyle name="Note 2 3" xfId="391" xr:uid="{4C424AC3-2D5C-4B34-A22D-CCB929B6BE30}"/>
    <cellStyle name="Note 2 3 2" xfId="727" xr:uid="{B9A6F8C1-B699-4477-B605-589F45BB7888}"/>
    <cellStyle name="Note 2 4" xfId="611" xr:uid="{D2B090CC-F9E8-4D83-8501-2FF36844D0D7}"/>
    <cellStyle name="Note 3" xfId="280" xr:uid="{877B09FE-868B-46FB-9F07-C546A80ED2F1}"/>
    <cellStyle name="Note 3 2" xfId="480" xr:uid="{2227DA69-ADC8-4254-9914-59D666B111DB}"/>
    <cellStyle name="Note 3 2 2" xfId="813" xr:uid="{9F3BFE2C-B3D3-4CA4-9DDF-5E32860A21D3}"/>
    <cellStyle name="Note 3 3" xfId="392" xr:uid="{DB79C314-2828-4581-B190-5841EC19813A}"/>
    <cellStyle name="Note 3 3 2" xfId="728" xr:uid="{9C0A882A-4CF6-4628-B5B5-99D49A03DBA1}"/>
    <cellStyle name="Note 3 4" xfId="612" xr:uid="{A571AFEF-A1B8-4BF8-A499-364478C472FA}"/>
    <cellStyle name="Note 4" xfId="281" xr:uid="{96462072-76A5-4D52-A6E6-C7BB087E31E7}"/>
    <cellStyle name="Note 4 2" xfId="481" xr:uid="{E2ADA0CA-3418-4058-9839-6E5F946456DD}"/>
    <cellStyle name="Note 4 2 2" xfId="814" xr:uid="{4664F2D8-7A3D-48A9-B4D2-81799CAB8F22}"/>
    <cellStyle name="Note 4 3" xfId="393" xr:uid="{4EF37FDE-892E-4877-B62F-4512AEFFD931}"/>
    <cellStyle name="Note 4 3 2" xfId="729" xr:uid="{941A2E90-5C08-4396-A278-C2C072B7136A}"/>
    <cellStyle name="Note 4 4" xfId="613" xr:uid="{5D0D9754-713D-44C1-B2C5-E4FA09C6DA57}"/>
    <cellStyle name="Note 5" xfId="282" xr:uid="{FA423E5A-0113-49FF-8571-5372AED3AEE6}"/>
    <cellStyle name="Note 5 2" xfId="482" xr:uid="{C5850085-8B0C-40B8-B8AB-5F33C6F50B52}"/>
    <cellStyle name="Note 5 2 2" xfId="815" xr:uid="{A988B48F-0008-485E-9708-732E94720D8B}"/>
    <cellStyle name="Note 5 3" xfId="394" xr:uid="{D6942A42-CC2E-40FE-9864-2C2B85FFB497}"/>
    <cellStyle name="Note 5 3 2" xfId="730" xr:uid="{8F41093A-80F2-48C0-AFB8-32E80F0534B2}"/>
    <cellStyle name="Note 5 4" xfId="614" xr:uid="{2493E2EE-C215-4EE3-865E-B5F3BF64AD84}"/>
    <cellStyle name="Note 6" xfId="283" xr:uid="{DF435043-F5D7-431E-942F-385F75268B42}"/>
    <cellStyle name="Note 6 2" xfId="483" xr:uid="{5D8F2BE4-920D-4CA0-AFC8-678AC1B8C1DA}"/>
    <cellStyle name="Note 6 2 2" xfId="816" xr:uid="{8AF38A8A-3E02-4E75-829D-57C524CD6DAD}"/>
    <cellStyle name="Note 6 3" xfId="395" xr:uid="{3F5348D6-B6C6-4904-ACA2-C062451DE3B6}"/>
    <cellStyle name="Note 6 3 2" xfId="731" xr:uid="{6364D862-0960-4DAB-8874-8423F7640004}"/>
    <cellStyle name="Note 6 4" xfId="615" xr:uid="{E92817EE-DCBF-4E07-8CE9-F72BD22F53B9}"/>
    <cellStyle name="Note 7" xfId="284" xr:uid="{85079D22-0592-46DC-8EF6-56CFA504D7D2}"/>
    <cellStyle name="Note 7 2" xfId="484" xr:uid="{7DE21D50-8911-4B74-8497-5B99576115FB}"/>
    <cellStyle name="Note 7 2 2" xfId="817" xr:uid="{19283500-D98C-45A3-8DF4-C81F2DE1E0AC}"/>
    <cellStyle name="Note 7 3" xfId="396" xr:uid="{1770630C-BD37-444F-98B7-038C5B83780A}"/>
    <cellStyle name="Note 7 3 2" xfId="732" xr:uid="{E16B435C-CABD-4EDA-AFE1-EDD44EF56A33}"/>
    <cellStyle name="Note 7 4" xfId="616" xr:uid="{075DB40E-770C-44F1-A4EA-8F1F336F7591}"/>
    <cellStyle name="Note 8" xfId="285" xr:uid="{0A0FEE7C-4000-472B-8580-8B74F016AD1F}"/>
    <cellStyle name="Note 8 2" xfId="286" xr:uid="{3F25EDB7-E5FA-401D-A6C8-AE82065C11C0}"/>
    <cellStyle name="Note 9" xfId="485" xr:uid="{F199654A-A2FF-44D5-B7D2-85139F70452B}"/>
    <cellStyle name="Note 9 2" xfId="627" xr:uid="{9A10C801-A366-48CE-B5AD-D729FA052129}"/>
    <cellStyle name="Output" xfId="11" builtinId="21" customBuiltin="1"/>
    <cellStyle name="Output 2" xfId="287" xr:uid="{ECED39A5-BC76-4D47-BFE8-247440560E5C}"/>
    <cellStyle name="Output 3" xfId="288" xr:uid="{9A9A9E2C-415D-47D3-8E81-CAC626A0A470}"/>
    <cellStyle name="Output 4" xfId="289" xr:uid="{3F900914-A15F-45FA-847E-BD7792E4090E}"/>
    <cellStyle name="Output 5" xfId="290" xr:uid="{548B98C5-6D2F-468B-AD1C-6B9321344D99}"/>
    <cellStyle name="Output 6" xfId="291" xr:uid="{04981711-975C-47A8-B579-D78C4EBDA78D}"/>
    <cellStyle name="Output 7" xfId="292" xr:uid="{F8DF0420-8C28-49FE-A6FD-1267CC85E2E5}"/>
    <cellStyle name="Output 8" xfId="293" xr:uid="{7A67AFED-1A70-4F96-85FB-F7BE0EFD0268}"/>
    <cellStyle name="Output 9" xfId="495" xr:uid="{5B11598F-7CFD-4A69-9CF2-A843766638D8}"/>
    <cellStyle name="Percent" xfId="818" builtinId="5"/>
    <cellStyle name="Percent 2" xfId="43" xr:uid="{F431644B-3BC6-4682-BCBF-0FD96FB38D73}"/>
    <cellStyle name="Percent 2 2" xfId="401" xr:uid="{4D217BC5-8F5F-41F7-9C14-BCF06373D252}"/>
    <cellStyle name="Percent 2 2 2" xfId="736" xr:uid="{B3E4BC39-35DE-443C-82D0-89F8E8AD6D24}"/>
    <cellStyle name="Percent 2 3" xfId="645" xr:uid="{9893C3DE-6310-4C3C-9296-F9206881E875}"/>
    <cellStyle name="Percent 3" xfId="402" xr:uid="{640F2E29-CAB5-40E1-BC01-4BC340144EA8}"/>
    <cellStyle name="Percent 4" xfId="651" xr:uid="{5B7774F5-B445-4745-AA88-C170E643B57C}"/>
    <cellStyle name="Percent 5" xfId="44" xr:uid="{60317D8E-36AE-45D3-9939-F9C702963BC2}"/>
    <cellStyle name="Title 2" xfId="294" xr:uid="{67AAD575-AE64-47F1-9B95-406750CB93A7}"/>
    <cellStyle name="Title 3" xfId="295" xr:uid="{5780A5BA-74FE-4F3C-894C-490C7BC0FC6A}"/>
    <cellStyle name="Title 4" xfId="296" xr:uid="{ED441C8C-60A8-4AA0-A16D-9089F930FF17}"/>
    <cellStyle name="Title 5" xfId="297" xr:uid="{82388749-8C0D-4585-99EF-D7B74E239351}"/>
    <cellStyle name="Title 6" xfId="298" xr:uid="{37636AD4-1FE0-4E6F-AA1C-6AFD36D31B33}"/>
    <cellStyle name="Title 7" xfId="299" xr:uid="{06CEE780-C7B1-4F26-A985-BB8FE91F2938}"/>
    <cellStyle name="Title 8" xfId="300" xr:uid="{9B774CE5-D8D5-47B2-A7FA-04754131E441}"/>
    <cellStyle name="Title 9" xfId="310" xr:uid="{81AF4143-84B0-44B3-A7CA-7B53AD4E45C2}"/>
    <cellStyle name="Total" xfId="17" builtinId="25" customBuiltin="1"/>
    <cellStyle name="Total 2" xfId="301" xr:uid="{C85F1F9B-1B77-4031-922B-AB78DDDC103B}"/>
    <cellStyle name="Total 3" xfId="302" xr:uid="{28F916DB-0252-49C5-943B-39DEF402F25D}"/>
    <cellStyle name="Total 4" xfId="303" xr:uid="{E78F9530-43BE-48B0-A02A-BBD988079862}"/>
    <cellStyle name="Total 5" xfId="304" xr:uid="{736281CE-65FA-45FB-86EF-76509F36C163}"/>
    <cellStyle name="Total 6" xfId="305" xr:uid="{742B42DC-BA6E-4EE8-AFE4-5B999D956F52}"/>
    <cellStyle name="Total 7" xfId="306" xr:uid="{D5737CF7-AB07-4EE0-AF80-3C0848223EAB}"/>
    <cellStyle name="Total 8" xfId="307" xr:uid="{FCBAB21B-948B-4002-94AB-258932EE12BA}"/>
    <cellStyle name="Total 9" xfId="501" xr:uid="{1AE765BA-8E75-4E72-A84F-78FD550D2801}"/>
    <cellStyle name="Warning Text" xfId="15" builtinId="11" customBuiltin="1"/>
    <cellStyle name="Warning Text 2" xfId="499" xr:uid="{CF4C9489-CEC1-42C5-B1B2-B086BED71966}"/>
  </cellStyles>
  <dxfs count="26">
    <dxf>
      <fill>
        <patternFill>
          <bgColor theme="9" tint="0.79998168889431442"/>
        </patternFill>
      </fill>
      <border>
        <left style="thin">
          <color theme="3" tint="-0.499984740745262"/>
        </left>
        <right style="thin">
          <color theme="3" tint="-0.499984740745262"/>
        </right>
        <top style="thin">
          <color theme="3" tint="-0.499984740745262"/>
        </top>
        <bottom style="thin">
          <color theme="3" tint="-0.499984740745262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-0.499984740745262"/>
        </left>
        <right style="thin">
          <color theme="5" tint="-0.499984740745262"/>
        </right>
        <top style="thin">
          <color theme="5" tint="-0.499984740745262"/>
        </top>
        <bottom style="thin">
          <color theme="5" tint="-0.499984740745262"/>
        </bottom>
        <vertical/>
        <horizontal/>
      </border>
    </dxf>
    <dxf>
      <font>
        <color rgb="FF002060"/>
      </font>
      <fill>
        <patternFill>
          <bgColor theme="8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72EAE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C5E5ED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color theme="0"/>
      </font>
      <fill>
        <patternFill>
          <bgColor theme="7" tint="-0.499984740745262"/>
        </patternFill>
      </fill>
      <border>
        <left style="thin">
          <color theme="9" tint="-0.499984740745262"/>
        </left>
        <right style="thin">
          <color theme="9" tint="-0.499984740745262"/>
        </right>
        <top style="thin">
          <color theme="9" tint="-0.499984740745262"/>
        </top>
        <bottom style="thin">
          <color theme="9" tint="-0.499984740745262"/>
        </bottom>
        <vertical/>
        <horizontal/>
      </border>
    </dxf>
    <dxf>
      <font>
        <color theme="0"/>
      </font>
      <fill>
        <patternFill>
          <bgColor rgb="FF002060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ont>
        <b/>
        <i val="0"/>
        <color theme="0"/>
      </font>
      <fill>
        <patternFill>
          <bgColor theme="8" tint="-0.24994659260841701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rgb="FF66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rgb="FFCCFFFF"/>
        </patternFill>
      </fill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 style="thin">
          <color theme="4" tint="-0.499984740745262"/>
        </top>
        <bottom style="thin">
          <color theme="4" tint="-0.499984740745262"/>
        </bottom>
        <vertical/>
        <horizontal/>
      </border>
    </dxf>
    <dxf>
      <fill>
        <patternFill>
          <bgColor theme="4" tint="0.79998168889431442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fgColor rgb="FF97FFEB"/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ill>
        <patternFill>
          <bgColor theme="8" tint="0.79998168889431442"/>
        </patternFill>
      </fill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/>
        <horizontal/>
      </border>
    </dxf>
    <dxf>
      <font>
        <color rgb="FF006100"/>
      </font>
      <fill>
        <patternFill>
          <bgColor rgb="FFA3E7FF"/>
        </patternFill>
      </fill>
    </dxf>
    <dxf>
      <font>
        <color rgb="FF9C5700"/>
      </font>
      <fill>
        <patternFill>
          <bgColor rgb="FFE6F7E1"/>
        </patternFill>
      </fill>
    </dxf>
  </dxfs>
  <tableStyles count="0" defaultTableStyle="TableStyleMedium2" defaultPivotStyle="PivotStyleLight16"/>
  <colors>
    <mruColors>
      <color rgb="FFCCFFFF"/>
      <color rgb="FFB7FFE7"/>
      <color rgb="FFFFE1E1"/>
      <color rgb="FFFFCC00"/>
      <color rgb="FFDBD600"/>
      <color rgb="FFFFFFCC"/>
      <color rgb="FFB3FFE6"/>
      <color rgb="FFDDFFF4"/>
      <color rgb="FFC5E5ED"/>
      <color rgb="FFE6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914400</xdr:colOff>
      <xdr:row>3</xdr:row>
      <xdr:rowOff>95250</xdr:rowOff>
    </xdr:from>
    <xdr:to>
      <xdr:col>13</xdr:col>
      <xdr:colOff>146050</xdr:colOff>
      <xdr:row>3</xdr:row>
      <xdr:rowOff>266700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99641B5-124A-C47C-5E2F-79430C5A0E6A}"/>
            </a:ext>
          </a:extLst>
        </xdr:cNvPr>
        <xdr:cNvSpPr txBox="1"/>
      </xdr:nvSpPr>
      <xdr:spPr>
        <a:xfrm>
          <a:off x="9944100" y="1003300"/>
          <a:ext cx="577850" cy="1714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800" b="1">
              <a:solidFill>
                <a:schemeClr val="bg1"/>
              </a:solidFill>
            </a:rPr>
            <a:t>2025-06</a:t>
          </a:r>
        </a:p>
      </xdr:txBody>
    </xdr:sp>
    <xdr:clientData/>
  </xdr:twoCellAnchor>
  <xdr:twoCellAnchor>
    <xdr:from>
      <xdr:col>15</xdr:col>
      <xdr:colOff>25400</xdr:colOff>
      <xdr:row>2</xdr:row>
      <xdr:rowOff>139700</xdr:rowOff>
    </xdr:from>
    <xdr:to>
      <xdr:col>26</xdr:col>
      <xdr:colOff>0</xdr:colOff>
      <xdr:row>3</xdr:row>
      <xdr:rowOff>203200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01259B2-27F5-AD88-6969-EE1A806F7710}"/>
            </a:ext>
          </a:extLst>
        </xdr:cNvPr>
        <xdr:cNvSpPr txBox="1"/>
      </xdr:nvSpPr>
      <xdr:spPr>
        <a:xfrm>
          <a:off x="10706100" y="673100"/>
          <a:ext cx="6813550" cy="43815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CA" sz="1300" b="1">
              <a:solidFill>
                <a:srgbClr val="FF0000"/>
              </a:solidFill>
            </a:rPr>
            <a:t>**Instructions</a:t>
          </a:r>
          <a:r>
            <a:rPr lang="en-CA" sz="1300" b="1" baseline="0">
              <a:solidFill>
                <a:srgbClr val="FF0000"/>
              </a:solidFill>
            </a:rPr>
            <a:t> on how to fill out the Trial Pricing Calculator**</a:t>
          </a:r>
        </a:p>
        <a:p>
          <a:pPr algn="ctr"/>
          <a:r>
            <a:rPr lang="en-CA" sz="900" b="1" baseline="0">
              <a:solidFill>
                <a:srgbClr val="002060"/>
              </a:solidFill>
            </a:rPr>
            <a:t>(Please fill out all the applicable info. </a:t>
          </a:r>
          <a:r>
            <a:rPr lang="en-CA" sz="900" b="1" baseline="0">
              <a:solidFill>
                <a:schemeClr val="accent4">
                  <a:lumMod val="50000"/>
                </a:schemeClr>
              </a:solidFill>
            </a:rPr>
            <a:t>Please ensure all fields are filled out correctly</a:t>
          </a:r>
          <a:r>
            <a:rPr lang="en-CA" sz="900" b="1" baseline="0">
              <a:solidFill>
                <a:srgbClr val="002060"/>
              </a:solidFill>
            </a:rPr>
            <a:t>)</a:t>
          </a:r>
          <a:endParaRPr lang="en-CA" sz="900" b="1">
            <a:solidFill>
              <a:srgbClr val="002060"/>
            </a:solidFill>
          </a:endParaRPr>
        </a:p>
      </xdr:txBody>
    </xdr:sp>
    <xdr:clientData/>
  </xdr:twoCellAnchor>
  <xdr:twoCellAnchor>
    <xdr:from>
      <xdr:col>15</xdr:col>
      <xdr:colOff>31750</xdr:colOff>
      <xdr:row>3</xdr:row>
      <xdr:rowOff>184150</xdr:rowOff>
    </xdr:from>
    <xdr:to>
      <xdr:col>26</xdr:col>
      <xdr:colOff>0</xdr:colOff>
      <xdr:row>40</xdr:row>
      <xdr:rowOff>171450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DCDB5BD-EFB4-1252-196E-061273D12813}"/>
            </a:ext>
          </a:extLst>
        </xdr:cNvPr>
        <xdr:cNvSpPr txBox="1"/>
      </xdr:nvSpPr>
      <xdr:spPr>
        <a:xfrm>
          <a:off x="10712450" y="1092200"/>
          <a:ext cx="6807200" cy="7270750"/>
        </a:xfrm>
        <a:prstGeom prst="rect">
          <a:avLst/>
        </a:prstGeom>
        <a:solidFill>
          <a:schemeClr val="accent5">
            <a:lumMod val="50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Wingdings" panose="05000000000000000000" pitchFamily="2" charset="2"/>
            <a:buChar char="q"/>
          </a:pPr>
          <a:r>
            <a:rPr lang="en-CA" sz="1100" b="1" u="sng">
              <a:solidFill>
                <a:schemeClr val="accent2">
                  <a:lumMod val="20000"/>
                  <a:lumOff val="80000"/>
                </a:schemeClr>
              </a:solidFill>
            </a:rPr>
            <a:t>Step 1</a:t>
          </a:r>
          <a:r>
            <a:rPr lang="en-CA" sz="1100">
              <a:solidFill>
                <a:schemeClr val="accent2">
                  <a:lumMod val="20000"/>
                  <a:lumOff val="80000"/>
                </a:schemeClr>
              </a:solidFill>
            </a:rPr>
            <a:t>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ensure all fields are blank before trial pricing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>
              <a:solidFill>
                <a:schemeClr val="bg1"/>
              </a:solidFill>
            </a:rPr>
            <a:t>Please select:</a:t>
          </a:r>
        </a:p>
        <a:p>
          <a:pPr marL="1085850" lvl="2" indent="-171450">
            <a:buFont typeface="Wingdings" panose="05000000000000000000" pitchFamily="2" charset="2"/>
            <a:buChar char="Ø"/>
          </a:pPr>
          <a:r>
            <a:rPr lang="en-CA" sz="1300" b="1" u="sng">
              <a:solidFill>
                <a:srgbClr val="FFCC00"/>
              </a:solidFill>
            </a:rPr>
            <a:t>MBLL</a:t>
          </a:r>
          <a:r>
            <a:rPr lang="en-CA" sz="1300" b="1" u="sng" baseline="0">
              <a:solidFill>
                <a:srgbClr val="FFCC00"/>
              </a:solidFill>
            </a:rPr>
            <a:t> Distribution </a:t>
          </a:r>
          <a:r>
            <a:rPr lang="en-CA" sz="1300" b="1" u="sng" baseline="0">
              <a:solidFill>
                <a:schemeClr val="bg1"/>
              </a:solidFill>
            </a:rPr>
            <a:t>or</a:t>
          </a:r>
          <a:r>
            <a:rPr lang="en-CA" sz="1300" b="1" u="sng" baseline="0">
              <a:solidFill>
                <a:srgbClr val="FFFF00"/>
              </a:solidFill>
            </a:rPr>
            <a:t> </a:t>
          </a:r>
          <a:r>
            <a:rPr lang="en-CA" sz="1300" b="1" u="sng" baseline="0">
              <a:solidFill>
                <a:srgbClr val="FFCC00"/>
              </a:solidFill>
            </a:rPr>
            <a:t>'PRIVATE Distribution</a:t>
          </a:r>
          <a:endParaRPr lang="en-CA" sz="1300" baseline="0">
            <a:solidFill>
              <a:srgbClr val="FFCC00"/>
            </a:solidFill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endParaRPr lang="en-CA" sz="500" baseline="0">
            <a:solidFill>
              <a:schemeClr val="bg1"/>
            </a:solidFill>
          </a:endParaRPr>
        </a:p>
        <a:p>
          <a:pPr marL="171450" lvl="0" indent="-171450">
            <a:buFont typeface="Wingdings" panose="05000000000000000000" pitchFamily="2" charset="2"/>
            <a:buChar char="q"/>
          </a:pPr>
          <a:r>
            <a:rPr lang="en-CA" sz="1100" b="1" u="sng" baseline="0">
              <a:solidFill>
                <a:schemeClr val="accent2">
                  <a:lumMod val="20000"/>
                  <a:lumOff val="80000"/>
                </a:schemeClr>
              </a:solidFill>
            </a:rPr>
            <a:t>Step 2: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en-CA" sz="1100" b="1" baseline="0">
              <a:solidFill>
                <a:schemeClr val="bg1"/>
              </a:solidFill>
            </a:rPr>
            <a:t>Select the Pricing desired to trial price</a:t>
          </a:r>
        </a:p>
        <a:p>
          <a:pPr marL="1085850" lvl="2" indent="-171450">
            <a:buFont typeface="Wingdings" panose="05000000000000000000" pitchFamily="2" charset="2"/>
            <a:buChar char="v"/>
          </a:pPr>
          <a:r>
            <a:rPr lang="en-CA" sz="1100" b="1" u="sng" baseline="0">
              <a:solidFill>
                <a:srgbClr val="FFFF00"/>
              </a:solidFill>
            </a:rPr>
            <a:t>MBLL DISTRIBUTION</a:t>
          </a:r>
          <a:r>
            <a:rPr lang="en-CA" sz="1100" baseline="0">
              <a:solidFill>
                <a:srgbClr val="FFFF00"/>
              </a:solidFill>
            </a:rPr>
            <a:t>: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Select either </a:t>
          </a:r>
          <a:r>
            <a:rPr lang="en-CA" sz="1000" b="1" baseline="0">
              <a:solidFill>
                <a:srgbClr val="FFFF00"/>
              </a:solidFill>
            </a:rPr>
            <a:t>Case Cost </a:t>
          </a:r>
          <a:r>
            <a:rPr lang="en-CA" sz="1000" b="1" baseline="0">
              <a:solidFill>
                <a:schemeClr val="bg1"/>
              </a:solidFill>
            </a:rPr>
            <a:t>or </a:t>
          </a:r>
          <a:r>
            <a:rPr lang="en-CA" sz="1000" b="1" baseline="0">
              <a:solidFill>
                <a:srgbClr val="FFFF00"/>
              </a:solidFill>
            </a:rPr>
            <a:t>Retail Price </a:t>
          </a:r>
          <a:r>
            <a:rPr lang="en-CA" sz="1000" b="1" baseline="0">
              <a:solidFill>
                <a:schemeClr val="bg1"/>
              </a:solidFill>
            </a:rPr>
            <a:t>- </a:t>
          </a:r>
          <a:r>
            <a:rPr lang="en-CA" sz="1000" b="0" baseline="0">
              <a:solidFill>
                <a:schemeClr val="bg1"/>
              </a:solidFill>
            </a:rPr>
            <a:t> this is the desired trial price (column K9)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rgbClr val="FFFF00"/>
              </a:solidFill>
            </a:rPr>
            <a:t>Input the Amount </a:t>
          </a:r>
          <a:r>
            <a:rPr lang="en-CA" sz="1000" b="0" baseline="0">
              <a:solidFill>
                <a:schemeClr val="bg1"/>
              </a:solidFill>
            </a:rPr>
            <a:t>to be trial priced in Column L9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Category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if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Wine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Spirit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085850" lvl="2" indent="-171450" eaLnBrk="1" fontAlgn="auto" latinLnBrk="0" hangingPunct="1">
            <a:buFont typeface="Wingdings" panose="05000000000000000000" pitchFamily="2" charset="2"/>
            <a:buChar char="v"/>
          </a:pPr>
          <a:r>
            <a:rPr lang="en-CA" sz="1100" b="1" i="0" u="sng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PRIVATE DISTRIBUTION:</a:t>
          </a:r>
          <a:endParaRPr lang="en-CA" sz="1100">
            <a:solidFill>
              <a:srgbClr val="FFFF00"/>
            </a:solidFill>
            <a:effectLst/>
          </a:endParaRPr>
        </a:p>
        <a:p>
          <a:pPr marL="1085850" lvl="2" indent="-171450" eaLnBrk="1" fontAlgn="auto" latinLnBrk="0" hangingPunct="1">
            <a:buFont typeface="Arial" panose="020B0604020202020204" pitchFamily="34" charset="0"/>
            <a:buChar char="•"/>
          </a:pP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Select either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or </a:t>
          </a: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</a:t>
          </a:r>
          <a:endParaRPr lang="en-CA">
            <a:solidFill>
              <a:srgbClr val="FFFF00"/>
            </a:solidFill>
            <a:effectLst/>
          </a:endParaRP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Beer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 </a:t>
          </a:r>
          <a:r>
            <a:rPr lang="en-CA" sz="11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Licensee Price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(K9)</a:t>
          </a:r>
        </a:p>
        <a:p>
          <a:pPr marL="1543050" lvl="3" indent="-171450" eaLnBrk="1" fontAlgn="auto" latinLnBrk="0" hangingPunct="1">
            <a:buFont typeface="Courier New" panose="02070309020205020404" pitchFamily="49" charset="0"/>
            <a:buChar char="o"/>
          </a:pPr>
          <a:r>
            <a:rPr lang="en-CA" sz="1100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Ready to Drink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select either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Gross Price to Brewer </a:t>
          </a:r>
          <a:r>
            <a:rPr lang="en-CA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or </a:t>
          </a: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Retail Price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Input the Amount </a:t>
          </a:r>
          <a:r>
            <a:rPr lang="en-CA" sz="1100" b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to be trial priced in Column L9</a:t>
          </a:r>
          <a:endParaRPr lang="en-CA" sz="11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500" b="0" baseline="0">
            <a:solidFill>
              <a:schemeClr val="bg1"/>
            </a:solidFill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q"/>
            <a:tabLst/>
            <a:defRPr/>
          </a:pPr>
          <a:r>
            <a:rPr lang="en-CA" sz="1100" b="1" u="sng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Step 3:</a:t>
          </a:r>
          <a:endParaRPr lang="en-CA" sz="1100" b="1">
            <a:solidFill>
              <a:schemeClr val="bg1"/>
            </a:solidFill>
            <a:effectLst/>
          </a:endParaRP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§"/>
            <a:tabLst/>
            <a:defRPr/>
          </a:pPr>
          <a:r>
            <a:rPr lang="en-CA" sz="11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Fill in the Product information</a:t>
          </a:r>
          <a:endParaRPr lang="en-CA" sz="1100" b="1">
            <a:solidFill>
              <a:srgbClr val="FFFF00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Sub-type</a:t>
          </a:r>
          <a:r>
            <a:rPr lang="en-CA" sz="1000" baseline="0">
              <a:solidFill>
                <a:schemeClr val="bg1"/>
              </a:solidFill>
            </a:rPr>
            <a:t> - select the appropriate sub-type of the Category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Micro Produced </a:t>
          </a:r>
          <a:r>
            <a:rPr lang="en-CA" sz="1000" baseline="0">
              <a:solidFill>
                <a:schemeClr val="bg1"/>
              </a:solidFill>
            </a:rPr>
            <a:t>- answer '</a:t>
          </a:r>
          <a:r>
            <a:rPr lang="en-CA" sz="1000" baseline="0">
              <a:solidFill>
                <a:srgbClr val="FFFF00"/>
              </a:solidFill>
            </a:rPr>
            <a:t>Yes'</a:t>
          </a:r>
          <a:r>
            <a:rPr lang="en-CA" sz="1000" baseline="0">
              <a:solidFill>
                <a:schemeClr val="bg1"/>
              </a:solidFill>
            </a:rPr>
            <a:t> or '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'. Based on supplier's annual declaration of Production that has been approved by MBLL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="1" baseline="0">
              <a:solidFill>
                <a:schemeClr val="bg1"/>
              </a:solidFill>
            </a:rPr>
            <a:t>Certificate of Origin (MBLL Distributed only) </a:t>
          </a:r>
          <a:r>
            <a:rPr lang="en-CA" sz="1000" baseline="0">
              <a:solidFill>
                <a:schemeClr val="bg1"/>
              </a:solidFill>
            </a:rPr>
            <a:t>- Submitted yearly for preferred customs rates stating the Country of Origin, from select countries. </a:t>
          </a:r>
        </a:p>
        <a:p>
          <a:pPr marL="1543050" lvl="3" indent="-171450">
            <a:buFont typeface="Courier New" panose="02070309020205020404" pitchFamily="49" charset="0"/>
            <a:buChar char="o"/>
          </a:pPr>
          <a:r>
            <a:rPr lang="en-CA" sz="1000" baseline="0">
              <a:solidFill>
                <a:schemeClr val="bg1"/>
              </a:solidFill>
            </a:rPr>
            <a:t>Answer </a:t>
          </a:r>
          <a:r>
            <a:rPr lang="en-CA" sz="1000" baseline="0">
              <a:solidFill>
                <a:srgbClr val="FFFF00"/>
              </a:solidFill>
            </a:rPr>
            <a:t>No</a:t>
          </a:r>
          <a:r>
            <a:rPr lang="en-CA" sz="1000" baseline="0">
              <a:solidFill>
                <a:schemeClr val="bg1"/>
              </a:solidFill>
            </a:rPr>
            <a:t> if product is shipping domestically. Answer '</a:t>
          </a:r>
          <a:r>
            <a:rPr lang="en-CA" sz="1000" baseline="0">
              <a:solidFill>
                <a:srgbClr val="FFFF00"/>
              </a:solidFill>
            </a:rPr>
            <a:t>Yes</a:t>
          </a:r>
          <a:r>
            <a:rPr lang="en-CA" sz="1000" baseline="0">
              <a:solidFill>
                <a:schemeClr val="bg1"/>
              </a:solidFill>
            </a:rPr>
            <a:t>' if COO is already submitted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"Is this a Gift Pack?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 answer 'Yes 'if the product has a gift component or 'No' if no gift pack component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Courier New" panose="02070309020205020404" pitchFamily="49" charset="0"/>
            <a:buChar char="o"/>
            <a:tabLst/>
            <a:defRPr/>
          </a:pPr>
          <a:r>
            <a:rPr lang="en-CA" sz="1000">
              <a:solidFill>
                <a:schemeClr val="bg1"/>
              </a:solidFill>
              <a:effectLst/>
            </a:rPr>
            <a:t>If </a:t>
          </a:r>
          <a:r>
            <a:rPr lang="en-CA" sz="1000" b="1">
              <a:solidFill>
                <a:srgbClr val="FFFF00"/>
              </a:solidFill>
              <a:effectLst/>
            </a:rPr>
            <a:t>'Yes'</a:t>
          </a:r>
          <a:r>
            <a:rPr lang="en-CA" sz="1000">
              <a:solidFill>
                <a:schemeClr val="bg1"/>
              </a:solidFill>
              <a:effectLst/>
            </a:rPr>
            <a:t> - enter the </a:t>
          </a:r>
          <a:r>
            <a:rPr lang="en-CA" sz="1000" b="1">
              <a:solidFill>
                <a:srgbClr val="FFFF00"/>
              </a:solidFill>
              <a:effectLst/>
            </a:rPr>
            <a:t>'Add-On Cost per case</a:t>
          </a:r>
          <a:r>
            <a:rPr lang="en-CA" sz="1000">
              <a:solidFill>
                <a:schemeClr val="bg1"/>
              </a:solidFill>
              <a:effectLst/>
            </a:rPr>
            <a:t>' (note that Add-on</a:t>
          </a:r>
          <a:r>
            <a:rPr lang="en-CA" sz="1000" baseline="0">
              <a:solidFill>
                <a:schemeClr val="bg1"/>
              </a:solidFill>
              <a:effectLst/>
            </a:rPr>
            <a:t> cost per case cannot be higher than 49% of the Final Case Cost).</a:t>
          </a:r>
          <a:endParaRPr lang="en-CA" sz="100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Number of Selling Units or Selling Package in a case (Case Size)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the Individual container size per liter</a:t>
          </a:r>
        </a:p>
        <a:p>
          <a:pPr marL="1085850" lvl="2" indent="-171450">
            <a:buFont typeface="Arial" panose="020B0604020202020204" pitchFamily="34" charset="0"/>
            <a:buChar char="•"/>
          </a:pPr>
          <a:r>
            <a:rPr lang="en-CA" sz="1000" baseline="0">
              <a:solidFill>
                <a:schemeClr val="bg1"/>
              </a:solidFill>
            </a:rPr>
            <a:t>Enter </a:t>
          </a:r>
          <a:r>
            <a:rPr lang="en-CA" sz="1000" b="1" baseline="0">
              <a:solidFill>
                <a:schemeClr val="bg1"/>
              </a:solidFill>
            </a:rPr>
            <a:t>selling units or selling pack </a:t>
          </a:r>
          <a:r>
            <a:rPr lang="en-CA" sz="1000" baseline="0">
              <a:solidFill>
                <a:schemeClr val="bg1"/>
              </a:solidFill>
            </a:rPr>
            <a:t>(example a pack of 6x355 pack enter 6, </a:t>
          </a:r>
          <a:r>
            <a:rPr lang="en-CA" sz="1000" b="1" baseline="0">
              <a:solidFill>
                <a:schemeClr val="bg1"/>
              </a:solidFill>
            </a:rPr>
            <a:t>single units enter 1</a:t>
          </a:r>
          <a:r>
            <a:rPr lang="en-CA" sz="1000" baseline="0">
              <a:solidFill>
                <a:schemeClr val="bg1"/>
              </a:solidFill>
            </a:rPr>
            <a:t>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Container type (if applicable)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Enter the Alcohol %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Product Ship point location (MBLL Distributed) - where MBLL is sourcing the product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Freight Zone - choose the appropriate freight zone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Duty type: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Customs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outside of Canada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Excise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- MBLL to pick-up within Canada, MBLL to clear Federal excise tax</a:t>
          </a:r>
        </a:p>
        <a:p>
          <a:pPr marL="1543050" marR="0" lvl="3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Duty Paid</a:t>
          </a:r>
          <a:r>
            <a:rPr lang="en-CA" sz="10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0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 MBLL to pick-up within Canada and Supplier to clear federal excise tax. All privately distributed products are Duty Paid and all Taproom only products are Duty Paid</a:t>
          </a: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CA" sz="1000" b="0">
              <a:solidFill>
                <a:schemeClr val="bg1"/>
              </a:solidFill>
              <a:effectLst/>
            </a:rPr>
            <a:t>Enter</a:t>
          </a:r>
          <a:r>
            <a:rPr lang="en-CA" sz="1000" b="1">
              <a:solidFill>
                <a:schemeClr val="bg1"/>
              </a:solidFill>
              <a:effectLst/>
            </a:rPr>
            <a:t> Currency</a:t>
          </a:r>
          <a:r>
            <a:rPr lang="en-CA" sz="1000" b="1" baseline="0">
              <a:solidFill>
                <a:schemeClr val="bg1"/>
              </a:solidFill>
              <a:effectLst/>
            </a:rPr>
            <a:t> - </a:t>
          </a:r>
          <a:r>
            <a:rPr lang="en-CA" sz="1000" baseline="0">
              <a:solidFill>
                <a:schemeClr val="bg1"/>
              </a:solidFill>
              <a:effectLst/>
            </a:rPr>
            <a:t>select from Drop down list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1" baseline="0">
              <a:solidFill>
                <a:srgbClr val="FFC000"/>
              </a:solidFill>
              <a:effectLst/>
            </a:rPr>
            <a:t>PLEASE NOTE: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0" baseline="0">
              <a:solidFill>
                <a:srgbClr val="FFFF00"/>
              </a:solidFill>
              <a:effectLst/>
            </a:rPr>
            <a:t>*</a:t>
          </a:r>
          <a:r>
            <a:rPr lang="en-CA" sz="1000" b="1" baseline="0">
              <a:solidFill>
                <a:srgbClr val="FFFF00"/>
              </a:solidFill>
              <a:effectLst/>
            </a:rPr>
            <a:t>Fortified Wine </a:t>
          </a:r>
          <a:r>
            <a:rPr lang="en-CA" sz="1000" baseline="0">
              <a:solidFill>
                <a:schemeClr val="bg1"/>
              </a:solidFill>
              <a:effectLst/>
            </a:rPr>
            <a:t>- wines that had additional alcohol added to them usually a distilled grape-based spirit such as brandy to create a new, sometimes sweeter wine with higher alcohol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000" b="1" baseline="0">
              <a:solidFill>
                <a:srgbClr val="FFFF00"/>
              </a:solidFill>
              <a:effectLst/>
            </a:rPr>
            <a:t>*One-Pour Cocktail </a:t>
          </a:r>
          <a:r>
            <a:rPr lang="en-CA" sz="1000" baseline="0">
              <a:solidFill>
                <a:schemeClr val="bg1"/>
              </a:solidFill>
              <a:effectLst/>
            </a:rPr>
            <a:t>- Ready to Drink with higher than 7% alcohol volume up to 14.5% alcohol.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000" baseline="0">
            <a:solidFill>
              <a:schemeClr val="bg1"/>
            </a:solidFill>
            <a:effectLst/>
          </a:endParaRPr>
        </a:p>
        <a:p>
          <a:pPr marL="1085850" marR="0" lvl="2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endParaRPr lang="en-CA" sz="500" b="1" i="1" baseline="0">
            <a:solidFill>
              <a:schemeClr val="bg1"/>
            </a:solidFill>
            <a:effectLst/>
          </a:endParaRPr>
        </a:p>
        <a:p>
          <a:pPr marL="1085850" lvl="2" indent="-171450">
            <a:buFont typeface="Arial" panose="020B0604020202020204" pitchFamily="34" charset="0"/>
            <a:buChar char="•"/>
          </a:pPr>
          <a:endParaRPr lang="en-CA" sz="1100" baseline="0">
            <a:solidFill>
              <a:schemeClr val="bg1"/>
            </a:solidFill>
          </a:endParaRPr>
        </a:p>
      </xdr:txBody>
    </xdr:sp>
    <xdr:clientData/>
  </xdr:twoCellAnchor>
  <xdr:twoCellAnchor>
    <xdr:from>
      <xdr:col>15</xdr:col>
      <xdr:colOff>31750</xdr:colOff>
      <xdr:row>0</xdr:row>
      <xdr:rowOff>25400</xdr:rowOff>
    </xdr:from>
    <xdr:to>
      <xdr:col>26</xdr:col>
      <xdr:colOff>0</xdr:colOff>
      <xdr:row>2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A67D58C-EE0E-CF0E-564D-080130EC964D}"/>
            </a:ext>
          </a:extLst>
        </xdr:cNvPr>
        <xdr:cNvSpPr txBox="1"/>
      </xdr:nvSpPr>
      <xdr:spPr>
        <a:xfrm>
          <a:off x="10712450" y="25400"/>
          <a:ext cx="6807200" cy="6223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 b="1" i="0" u="sng">
              <a:solidFill>
                <a:schemeClr val="accent6">
                  <a:lumMod val="50000"/>
                </a:schemeClr>
              </a:solidFill>
            </a:rPr>
            <a:t>Disclaimer:</a:t>
          </a:r>
        </a:p>
        <a:p>
          <a:r>
            <a:rPr lang="en-CA" sz="1000" b="1" i="1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>
              <a:solidFill>
                <a:schemeClr val="accent4">
                  <a:lumMod val="50000"/>
                </a:schemeClr>
              </a:solidFill>
            </a:rPr>
            <a:t>Trial Pricing Calculator </a:t>
          </a:r>
          <a:r>
            <a:rPr lang="en-CA" sz="1000" i="1">
              <a:solidFill>
                <a:schemeClr val="accent4">
                  <a:lumMod val="50000"/>
                </a:schemeClr>
              </a:solidFill>
            </a:rPr>
            <a:t>does not guarantee the final retail price.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 Once processed, the retail price or cost may change.</a:t>
          </a:r>
        </a:p>
        <a:p>
          <a:r>
            <a:rPr lang="en-CA" sz="1000" b="1" i="1" baseline="0">
              <a:solidFill>
                <a:schemeClr val="accent4">
                  <a:lumMod val="50000"/>
                </a:schemeClr>
              </a:solidFill>
            </a:rPr>
            <a:t>     </a:t>
          </a:r>
          <a:r>
            <a:rPr lang="en-CA" sz="1000" b="1" i="0" baseline="0">
              <a:solidFill>
                <a:schemeClr val="accent4">
                  <a:lumMod val="50000"/>
                </a:schemeClr>
              </a:solidFill>
            </a:rPr>
            <a:t>Product Size: </a:t>
          </a:r>
          <a:r>
            <a:rPr lang="en-CA" sz="1000" i="1" baseline="0">
              <a:solidFill>
                <a:schemeClr val="accent4">
                  <a:lumMod val="50000"/>
                </a:schemeClr>
              </a:solidFill>
            </a:rPr>
            <a:t>The Trial Pricing Calculator is designed to price the most commonly used product sizes.</a:t>
          </a:r>
        </a:p>
        <a:p>
          <a:endParaRPr lang="en-CA" sz="1100"/>
        </a:p>
      </xdr:txBody>
    </xdr:sp>
    <xdr:clientData/>
  </xdr:twoCellAnchor>
  <xdr:twoCellAnchor>
    <xdr:from>
      <xdr:col>11</xdr:col>
      <xdr:colOff>927060</xdr:colOff>
      <xdr:row>5</xdr:row>
      <xdr:rowOff>76201</xdr:rowOff>
    </xdr:from>
    <xdr:to>
      <xdr:col>15</xdr:col>
      <xdr:colOff>12700</xdr:colOff>
      <xdr:row>8</xdr:row>
      <xdr:rowOff>203200</xdr:rowOff>
    </xdr:to>
    <xdr:sp macro="" textlink="">
      <xdr:nvSpPr>
        <xdr:cNvPr id="6" name="Speech Bubble: Oval 5">
          <a:extLst>
            <a:ext uri="{FF2B5EF4-FFF2-40B4-BE49-F238E27FC236}">
              <a16:creationId xmlns:a16="http://schemas.microsoft.com/office/drawing/2014/main" id="{6D55E4F0-15EE-BF3A-A020-13EE37AD9AB7}"/>
            </a:ext>
          </a:extLst>
        </xdr:cNvPr>
        <xdr:cNvSpPr/>
      </xdr:nvSpPr>
      <xdr:spPr>
        <a:xfrm>
          <a:off x="9956760" y="1504951"/>
          <a:ext cx="736640" cy="698499"/>
        </a:xfrm>
        <a:custGeom>
          <a:avLst/>
          <a:gdLst>
            <a:gd name="connsiteX0" fmla="*/ 333379 w 1143000"/>
            <a:gd name="connsiteY0" fmla="*/ 785813 h 698500"/>
            <a:gd name="connsiteX1" fmla="*/ 290647 w 1143000"/>
            <a:gd name="connsiteY1" fmla="*/ 653418 h 698500"/>
            <a:gd name="connsiteX2" fmla="*/ 196122 w 1143000"/>
            <a:gd name="connsiteY2" fmla="*/ 85902 h 698500"/>
            <a:gd name="connsiteX3" fmla="*/ 743986 w 1143000"/>
            <a:gd name="connsiteY3" fmla="*/ 16287 h 698500"/>
            <a:gd name="connsiteX4" fmla="*/ 1064461 w 1143000"/>
            <a:gd name="connsiteY4" fmla="*/ 525947 h 698500"/>
            <a:gd name="connsiteX5" fmla="*/ 497550 w 1143000"/>
            <a:gd name="connsiteY5" fmla="*/ 695565 h 698500"/>
            <a:gd name="connsiteX6" fmla="*/ 333379 w 1143000"/>
            <a:gd name="connsiteY6" fmla="*/ 785813 h 698500"/>
            <a:gd name="connsiteX0" fmla="*/ 282619 w 1143320"/>
            <a:gd name="connsiteY0" fmla="*/ 855668 h 855668"/>
            <a:gd name="connsiteX1" fmla="*/ 290687 w 1143320"/>
            <a:gd name="connsiteY1" fmla="*/ 653423 h 855668"/>
            <a:gd name="connsiteX2" fmla="*/ 196162 w 1143320"/>
            <a:gd name="connsiteY2" fmla="*/ 85907 h 855668"/>
            <a:gd name="connsiteX3" fmla="*/ 744026 w 1143320"/>
            <a:gd name="connsiteY3" fmla="*/ 16292 h 855668"/>
            <a:gd name="connsiteX4" fmla="*/ 1064501 w 1143320"/>
            <a:gd name="connsiteY4" fmla="*/ 525952 h 855668"/>
            <a:gd name="connsiteX5" fmla="*/ 497590 w 1143320"/>
            <a:gd name="connsiteY5" fmla="*/ 695570 h 855668"/>
            <a:gd name="connsiteX6" fmla="*/ 282619 w 1143320"/>
            <a:gd name="connsiteY6" fmla="*/ 855668 h 85566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143320" h="855668">
              <a:moveTo>
                <a:pt x="282619" y="855668"/>
              </a:moveTo>
              <a:cubicBezTo>
                <a:pt x="268375" y="811536"/>
                <a:pt x="304931" y="697555"/>
                <a:pt x="290687" y="653423"/>
              </a:cubicBezTo>
              <a:cubicBezTo>
                <a:pt x="-52968" y="534920"/>
                <a:pt x="-101375" y="244294"/>
                <a:pt x="196162" y="85907"/>
              </a:cubicBezTo>
              <a:cubicBezTo>
                <a:pt x="346431" y="5915"/>
                <a:pt x="554034" y="-20465"/>
                <a:pt x="744026" y="16292"/>
              </a:cubicBezTo>
              <a:cubicBezTo>
                <a:pt x="1093754" y="83952"/>
                <a:pt x="1250094" y="332582"/>
                <a:pt x="1064501" y="525952"/>
              </a:cubicBezTo>
              <a:cubicBezTo>
                <a:pt x="948397" y="646921"/>
                <a:pt x="725147" y="713716"/>
                <a:pt x="497590" y="695570"/>
              </a:cubicBezTo>
              <a:lnTo>
                <a:pt x="282619" y="855668"/>
              </a:lnTo>
              <a:close/>
            </a:path>
          </a:pathLst>
        </a:custGeom>
        <a:solidFill>
          <a:schemeClr val="bg2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CA" sz="300" b="1" i="1">
            <a:solidFill>
              <a:srgbClr val="FF0000"/>
            </a:solidFill>
          </a:endParaRPr>
        </a:p>
        <a:p>
          <a:pPr algn="ctr"/>
          <a:r>
            <a:rPr lang="en-CA" sz="900" b="1" i="1">
              <a:solidFill>
                <a:srgbClr val="FF0000"/>
              </a:solidFill>
            </a:rPr>
            <a:t>Input</a:t>
          </a:r>
          <a:r>
            <a:rPr lang="en-CA" sz="900" b="1" i="1" baseline="0">
              <a:solidFill>
                <a:srgbClr val="FF0000"/>
              </a:solidFill>
            </a:rPr>
            <a:t> desired pricing</a:t>
          </a:r>
          <a:endParaRPr lang="en-CA" sz="900" b="1" i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bllpartners.ca/liquor-partners/liquor-agents-supplie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03458-9E83-428B-81C7-079379F3712A}">
  <sheetPr>
    <tabColor rgb="FFFF0000"/>
  </sheetPr>
  <dimension ref="A1:AA42"/>
  <sheetViews>
    <sheetView showGridLines="0" tabSelected="1" zoomScaleNormal="100" workbookViewId="0">
      <selection activeCell="D9" sqref="D9:E9"/>
    </sheetView>
  </sheetViews>
  <sheetFormatPr defaultColWidth="0" defaultRowHeight="14.5" zeroHeight="1" x14ac:dyDescent="0.35"/>
  <cols>
    <col min="1" max="1" width="2.1796875" style="137" customWidth="1"/>
    <col min="2" max="2" width="2.1796875" style="120" customWidth="1"/>
    <col min="3" max="3" width="3.6328125" style="120" customWidth="1"/>
    <col min="4" max="4" width="32.90625" style="120" customWidth="1"/>
    <col min="5" max="5" width="34.26953125" style="120" bestFit="1" customWidth="1"/>
    <col min="6" max="6" width="3.6328125" style="120" customWidth="1"/>
    <col min="7" max="7" width="2.1796875" style="120" customWidth="1"/>
    <col min="8" max="8" width="1.81640625" style="137" customWidth="1"/>
    <col min="9" max="9" width="2.1796875" style="120" customWidth="1"/>
    <col min="10" max="10" width="3.6328125" style="120" customWidth="1"/>
    <col min="11" max="11" width="40.6328125" style="120" customWidth="1"/>
    <col min="12" max="12" width="15.6328125" style="120" customWidth="1"/>
    <col min="13" max="13" width="3.6328125" style="120" customWidth="1"/>
    <col min="14" max="14" width="2.1796875" style="120" customWidth="1"/>
    <col min="15" max="15" width="2.1796875" style="137" customWidth="1"/>
    <col min="16" max="25" width="8.7265625" style="120" customWidth="1"/>
    <col min="26" max="26" width="10.6328125" style="120" customWidth="1"/>
    <col min="27" max="27" width="0" style="120" hidden="1" customWidth="1"/>
    <col min="28" max="16384" width="8.7265625" hidden="1"/>
  </cols>
  <sheetData>
    <row r="1" spans="1:15" ht="10" customHeight="1" x14ac:dyDescent="0.35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ht="32" x14ac:dyDescent="0.7">
      <c r="A2" s="119"/>
      <c r="B2" s="313" t="s">
        <v>19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119"/>
    </row>
    <row r="3" spans="1:15" ht="29.5" x14ac:dyDescent="0.65">
      <c r="A3" s="119"/>
      <c r="B3" s="314" t="s">
        <v>158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119"/>
    </row>
    <row r="4" spans="1:15" ht="26" x14ac:dyDescent="0.6">
      <c r="A4" s="119"/>
      <c r="B4" s="315" t="s">
        <v>311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119"/>
    </row>
    <row r="5" spans="1:15" ht="15" customHeight="1" thickBot="1" x14ac:dyDescent="0.55000000000000004">
      <c r="A5" s="119"/>
      <c r="B5" s="121"/>
      <c r="C5" s="119"/>
      <c r="D5" s="122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15" customHeight="1" x14ac:dyDescent="0.5">
      <c r="A6" s="119"/>
      <c r="B6" s="123"/>
      <c r="C6" s="124"/>
      <c r="D6" s="125"/>
      <c r="E6" s="126"/>
      <c r="F6" s="126"/>
      <c r="G6" s="127"/>
      <c r="H6" s="119"/>
      <c r="I6" s="123"/>
      <c r="J6" s="126"/>
      <c r="K6" s="126"/>
      <c r="L6" s="126"/>
      <c r="M6" s="126"/>
      <c r="N6" s="127"/>
      <c r="O6" s="119"/>
    </row>
    <row r="7" spans="1:15" ht="8" customHeight="1" x14ac:dyDescent="0.35">
      <c r="A7" s="119"/>
      <c r="B7" s="128"/>
      <c r="C7" s="221"/>
      <c r="D7" s="222"/>
      <c r="E7" s="222"/>
      <c r="F7" s="223"/>
      <c r="G7" s="129"/>
      <c r="H7" s="119"/>
      <c r="I7" s="128"/>
      <c r="J7" s="213"/>
      <c r="K7" s="214"/>
      <c r="L7" s="214"/>
      <c r="M7" s="215"/>
      <c r="N7" s="129"/>
      <c r="O7" s="119"/>
    </row>
    <row r="8" spans="1:15" ht="22" customHeight="1" x14ac:dyDescent="0.35">
      <c r="A8" s="119"/>
      <c r="B8" s="128"/>
      <c r="C8" s="224"/>
      <c r="D8" s="326" t="s">
        <v>287</v>
      </c>
      <c r="E8" s="327"/>
      <c r="F8" s="229"/>
      <c r="G8" s="129"/>
      <c r="H8" s="119"/>
      <c r="I8" s="128"/>
      <c r="J8" s="216"/>
      <c r="K8" s="324" t="s">
        <v>304</v>
      </c>
      <c r="L8" s="325"/>
      <c r="M8" s="218"/>
      <c r="N8" s="129"/>
      <c r="O8" s="119"/>
    </row>
    <row r="9" spans="1:15" ht="21" customHeight="1" x14ac:dyDescent="0.35">
      <c r="A9" s="119"/>
      <c r="B9" s="128"/>
      <c r="C9" s="225"/>
      <c r="D9" s="319"/>
      <c r="E9" s="320"/>
      <c r="F9" s="229"/>
      <c r="G9" s="129"/>
      <c r="H9" s="119"/>
      <c r="I9" s="128"/>
      <c r="J9" s="216"/>
      <c r="K9" s="305"/>
      <c r="L9" s="306"/>
      <c r="M9" s="218"/>
      <c r="N9" s="129"/>
      <c r="O9" s="119"/>
    </row>
    <row r="10" spans="1:15" ht="8" customHeight="1" x14ac:dyDescent="0.35">
      <c r="A10" s="119"/>
      <c r="B10" s="128"/>
      <c r="C10" s="226"/>
      <c r="D10" s="227"/>
      <c r="E10" s="227"/>
      <c r="F10" s="228"/>
      <c r="G10" s="129"/>
      <c r="H10" s="119"/>
      <c r="I10" s="128"/>
      <c r="J10" s="217"/>
      <c r="K10" s="220"/>
      <c r="L10" s="304"/>
      <c r="M10" s="219"/>
      <c r="N10" s="129"/>
      <c r="O10" s="119"/>
    </row>
    <row r="11" spans="1:15" ht="10" customHeight="1" x14ac:dyDescent="0.35">
      <c r="A11" s="119"/>
      <c r="B11" s="128"/>
      <c r="C11" s="130"/>
      <c r="D11" s="130"/>
      <c r="E11" s="130"/>
      <c r="F11" s="130"/>
      <c r="G11" s="129"/>
      <c r="H11" s="119"/>
      <c r="I11" s="128"/>
      <c r="J11" s="130"/>
      <c r="K11" s="130"/>
      <c r="L11" s="130"/>
      <c r="M11" s="130"/>
      <c r="N11" s="129"/>
      <c r="O11" s="119"/>
    </row>
    <row r="12" spans="1:15" ht="18.5" x14ac:dyDescent="0.45">
      <c r="A12" s="119"/>
      <c r="B12" s="128"/>
      <c r="C12" s="321" t="s">
        <v>20</v>
      </c>
      <c r="D12" s="322"/>
      <c r="E12" s="322"/>
      <c r="F12" s="323"/>
      <c r="G12" s="129"/>
      <c r="H12" s="119"/>
      <c r="I12" s="128"/>
      <c r="J12" s="316" t="s">
        <v>136</v>
      </c>
      <c r="K12" s="317"/>
      <c r="L12" s="317"/>
      <c r="M12" s="318"/>
      <c r="N12" s="129"/>
      <c r="O12" s="119"/>
    </row>
    <row r="13" spans="1:15" x14ac:dyDescent="0.35">
      <c r="A13" s="119"/>
      <c r="B13" s="128"/>
      <c r="C13" s="231"/>
      <c r="D13" s="232"/>
      <c r="E13" s="232"/>
      <c r="F13" s="233"/>
      <c r="G13" s="129"/>
      <c r="H13" s="119"/>
      <c r="I13" s="128"/>
      <c r="J13" s="203"/>
      <c r="K13" s="311" t="str">
        <f>IF(D9="","",IF(E29="","",IF(D9="PRIVATE DISTRIBUTION","",IF(AND(D9="MBLL DISTRIBUTION",E29="CAD"),"","Base Unit Price - "&amp;E29))))</f>
        <v/>
      </c>
      <c r="L13" s="312" t="str">
        <f>IF(D9="","",IF(E29="","",IF(AND(D9="MBLL Distribution",E29="CAD"),"",IFERROR(IF(AND(E29="CAD",D9="MBLL DISTRIBUTION"),"",L40/E20),""))))</f>
        <v/>
      </c>
      <c r="M13" s="205"/>
      <c r="N13" s="129"/>
      <c r="O13" s="119"/>
    </row>
    <row r="14" spans="1:15" x14ac:dyDescent="0.35">
      <c r="A14" s="119"/>
      <c r="B14" s="128"/>
      <c r="C14" s="231"/>
      <c r="D14" s="234" t="str">
        <f>IF(D9="","","Product Category")</f>
        <v/>
      </c>
      <c r="E14" s="235"/>
      <c r="F14" s="233"/>
      <c r="G14" s="129"/>
      <c r="H14" s="119"/>
      <c r="I14" s="128"/>
      <c r="J14" s="203"/>
      <c r="K14" s="206" t="str">
        <f>IF(D9="","","Base Unit Price (CAD)")</f>
        <v/>
      </c>
      <c r="L14" s="207" t="str">
        <f>IF(D9="","",IFERROR(IF(AND(D9="MBLL DISTRIBUTION",'Trial Pricing Calculator'!K9="Retail Price"),SUM(Calculations!B3/Calculations!B6)*Calculations!B4,IF(AND('Trial Pricing Calculator'!D9="MBLL DISTRIBUTION",'Trial Pricing Calculator'!K9="Case Cost"),Calculations!A28,IF(D9="PRIVATE DISTRIBUTION",Calculations!B18,0))),0))</f>
        <v/>
      </c>
      <c r="M14" s="205"/>
      <c r="N14" s="129"/>
      <c r="O14" s="119"/>
    </row>
    <row r="15" spans="1:15" x14ac:dyDescent="0.35">
      <c r="A15" s="119"/>
      <c r="B15" s="128"/>
      <c r="C15" s="231"/>
      <c r="D15" s="234" t="str">
        <f>IF(D9="","","Sub-Type")</f>
        <v/>
      </c>
      <c r="E15" s="235"/>
      <c r="F15" s="233"/>
      <c r="G15" s="129"/>
      <c r="H15" s="119"/>
      <c r="I15" s="128"/>
      <c r="J15" s="203"/>
      <c r="K15" s="206" t="str">
        <f>IF(D9="MBLL DISTRIBUTION","Standard Freight rate/Liter","")</f>
        <v/>
      </c>
      <c r="L15" s="207" t="str">
        <f>IF(D9="","",IF(D9="PRIVATE DISTRIBUTION","",IFERROR(SUM(Calculations!B11*Calculations!B7),0)))</f>
        <v/>
      </c>
      <c r="M15" s="205"/>
      <c r="N15" s="129"/>
      <c r="O15" s="119"/>
    </row>
    <row r="16" spans="1:15" x14ac:dyDescent="0.35">
      <c r="A16" s="119"/>
      <c r="B16" s="128"/>
      <c r="C16" s="231"/>
      <c r="D16" s="234" t="str">
        <f>IF(D9="","","Micro Produced")</f>
        <v/>
      </c>
      <c r="E16" s="235"/>
      <c r="F16" s="233"/>
      <c r="G16" s="129"/>
      <c r="H16" s="119"/>
      <c r="I16" s="128"/>
      <c r="J16" s="203"/>
      <c r="K16" s="206" t="str">
        <f>IF(D9="MBLL DISTRIBUTION","Customs Duty","")</f>
        <v/>
      </c>
      <c r="L16" s="207" t="str">
        <f>IF(D9="","",IF(D9="PRIVATE DISTRIBUTION","",IF(E14="Spirit",Calculations!D4,IF(E14="Wine",Calculations!E4,IF(E14="Ready_to_Drink",Calculations!F4,IF(E14="Beer",Calculations!G4,0))))))</f>
        <v/>
      </c>
      <c r="M16" s="205"/>
      <c r="N16" s="129"/>
      <c r="O16" s="119"/>
    </row>
    <row r="17" spans="1:15" x14ac:dyDescent="0.35">
      <c r="A17" s="119"/>
      <c r="B17" s="128"/>
      <c r="C17" s="231"/>
      <c r="D17" s="234" t="str">
        <f>IF(D9="MBLL DISTRIBUTION","Certificate of Origin","")</f>
        <v/>
      </c>
      <c r="E17" s="235"/>
      <c r="F17" s="233"/>
      <c r="G17" s="129"/>
      <c r="H17" s="119"/>
      <c r="I17" s="128"/>
      <c r="J17" s="203"/>
      <c r="K17" s="206" t="str">
        <f>IF(D9="MBLL DISTRIBUTION","Excise Duty","")</f>
        <v/>
      </c>
      <c r="L17" s="207" t="str">
        <f>IF(D9="","",IF(D9="PRIVATE DISTRIBUTION","",IF(E14="Spirit",Calculations!D7,IF(E14="Wine",Calculations!E7,IF(E14="Ready_to_Drink",Calculations!F7,IF(E14="Beer",Calculations!G7,0))))))</f>
        <v/>
      </c>
      <c r="M17" s="205"/>
      <c r="N17" s="129"/>
      <c r="O17" s="119"/>
    </row>
    <row r="18" spans="1:15" x14ac:dyDescent="0.35">
      <c r="A18" s="119"/>
      <c r="B18" s="128"/>
      <c r="C18" s="231"/>
      <c r="D18" s="236" t="str">
        <f>IF(D9="","",IF(D9="MBLL DISTRIBUTION","     Is this a Gift Pack?",""))</f>
        <v/>
      </c>
      <c r="E18" s="237"/>
      <c r="F18" s="233"/>
      <c r="G18" s="129"/>
      <c r="H18" s="119"/>
      <c r="I18" s="128"/>
      <c r="J18" s="203"/>
      <c r="K18" s="308" t="str">
        <f>IF(AND(D9="MBLL DISTRIBUTION",E14="Beer"),"Beer Extra Charge","")</f>
        <v/>
      </c>
      <c r="L18" s="309" t="str">
        <f>IF(K18="","",IF(E23="Keg",0,IF(AND(D9="MBLL DISTRIBUTION",E14="Beer",E23="Can"),ROUND(Calculations!M26/24,4)*Calculations!B9,IF(AND(D9="MBLL DISTRIBUTION",E14="Beer",E23="Bottle"),ROUND(Calculations!M28/24,4)*Calculations!B9,"0.0000"))))</f>
        <v/>
      </c>
      <c r="M18" s="205"/>
      <c r="N18" s="129"/>
      <c r="O18" s="119"/>
    </row>
    <row r="19" spans="1:15" x14ac:dyDescent="0.35">
      <c r="A19" s="119"/>
      <c r="B19" s="128"/>
      <c r="C19" s="231"/>
      <c r="D19" s="234"/>
      <c r="E19" s="235"/>
      <c r="F19" s="233"/>
      <c r="G19" s="129"/>
      <c r="H19" s="119"/>
      <c r="I19" s="128"/>
      <c r="J19" s="203"/>
      <c r="K19" s="204"/>
      <c r="L19" s="204"/>
      <c r="M19" s="205"/>
      <c r="N19" s="129"/>
      <c r="O19" s="119"/>
    </row>
    <row r="20" spans="1:15" x14ac:dyDescent="0.35">
      <c r="A20" s="119"/>
      <c r="B20" s="128"/>
      <c r="C20" s="231"/>
      <c r="D20" s="234" t="str">
        <f>IF(D9="","",IF(D9="MBLL DISTRIBUTION","Selling Units per Case (Case size)",""))</f>
        <v/>
      </c>
      <c r="E20" s="238"/>
      <c r="F20" s="233"/>
      <c r="G20" s="129"/>
      <c r="H20" s="119"/>
      <c r="I20" s="128"/>
      <c r="J20" s="203"/>
      <c r="K20" s="206" t="str">
        <f>IF(D9="","",IF(AND(D9="PRIVATE DISTRIBUTION",E14="Beer"),"Markup (licensee)","Markup"))</f>
        <v/>
      </c>
      <c r="L20" s="207" t="str">
        <f>IFERROR(IF(D9="","",(IF(AND(D9="MBLL DISTRIBUTION",E14="Spirit"),Calculations!D10,IF(AND(D9="MBLL DISTRIBUTION",E14="Wine"),Calculations!E10,IF(AND(D9="MBLL DISTRIBUTION",E14="Ready_to_Drink"),Calculations!F10,IF(AND(D9="MBLL DISTRIBUTION",E14="Beer"),Calculations!G10,IF(AND(D9="PRIVATE DISTRIBUTION",E14="Beer"),Calculations!N5,IF(AND(D9="PRIVATE DISTRIBUTION",E14="Ready_to_Drink"),Calculations!L5,0)))))))),0)</f>
        <v/>
      </c>
      <c r="M20" s="205"/>
      <c r="N20" s="129"/>
      <c r="O20" s="119"/>
    </row>
    <row r="21" spans="1:15" x14ac:dyDescent="0.35">
      <c r="A21" s="119"/>
      <c r="B21" s="128"/>
      <c r="C21" s="231"/>
      <c r="D21" s="234" t="str">
        <f>IF(D9="","","Individual Container Size (Liter)")</f>
        <v/>
      </c>
      <c r="E21" s="235"/>
      <c r="F21" s="233"/>
      <c r="G21" s="129"/>
      <c r="H21" s="119"/>
      <c r="I21" s="128"/>
      <c r="J21" s="203"/>
      <c r="K21" s="206" t="str">
        <f>IF(D9="","","Per Package Surcharge")</f>
        <v/>
      </c>
      <c r="L21" s="207" t="str">
        <f>IF(D9="","",(IF(E14="Spirit",Calculations!D13,IF(E14="Wine",Calculations!E13,IF(E14="Ready_to_Drink",Calculations!F13,IF(E14="Beer",Calculations!G13,0))))))</f>
        <v/>
      </c>
      <c r="M21" s="205"/>
      <c r="N21" s="129"/>
      <c r="O21" s="119"/>
    </row>
    <row r="22" spans="1:15" x14ac:dyDescent="0.35">
      <c r="A22" s="119"/>
      <c r="B22" s="128"/>
      <c r="C22" s="231"/>
      <c r="D22" s="253" t="str">
        <f>IF(D9="","","# of Individual containers per selling pack")</f>
        <v/>
      </c>
      <c r="E22" s="235"/>
      <c r="F22" s="233"/>
      <c r="G22" s="129"/>
      <c r="H22" s="119"/>
      <c r="I22" s="128"/>
      <c r="J22" s="203"/>
      <c r="K22" s="206" t="str">
        <f>IF(D9="","","Equalization Charge")</f>
        <v/>
      </c>
      <c r="L22" s="208" t="str">
        <f>IF(D9="","",IF(E14="Spirit",Calculations!D19,IF(E14="Wine",Calculations!E19,IF(E14="Ready_to_Drink",Calculations!F19,IF(E14="Beer",Calculations!G19,0)))))</f>
        <v/>
      </c>
      <c r="M22" s="205"/>
      <c r="N22" s="129"/>
      <c r="O22" s="119"/>
    </row>
    <row r="23" spans="1:15" x14ac:dyDescent="0.35">
      <c r="A23" s="119"/>
      <c r="B23" s="128"/>
      <c r="C23" s="231"/>
      <c r="D23" s="245" t="str">
        <f>IF(D9="","","Container Type")</f>
        <v/>
      </c>
      <c r="E23" s="235"/>
      <c r="F23" s="233"/>
      <c r="G23" s="129"/>
      <c r="H23" s="119"/>
      <c r="I23" s="128"/>
      <c r="J23" s="203"/>
      <c r="K23" s="206" t="str">
        <f>IF(D9="MBLL DISTRIBUTION","Commercial Consideration","")</f>
        <v/>
      </c>
      <c r="L23" s="208" t="str">
        <f>IF(D9="","",IF(D9="PRIVATE DISTRIBUTION","",IF(E14="Spirit",Calculations!D16,IF(E14="Wine",Calculations!E16,IF(E14="Ready_to_Drink",Calculations!F16,IF(E14="Beer",Calculations!G16,0))))))</f>
        <v/>
      </c>
      <c r="M23" s="205"/>
      <c r="N23" s="129"/>
      <c r="O23" s="119"/>
    </row>
    <row r="24" spans="1:15" x14ac:dyDescent="0.35">
      <c r="A24" s="119"/>
      <c r="B24" s="128"/>
      <c r="C24" s="231"/>
      <c r="D24" s="234" t="str">
        <f>IF(D9="","","Alcohol Percent (%)")</f>
        <v/>
      </c>
      <c r="E24" s="239"/>
      <c r="F24" s="233"/>
      <c r="G24" s="129"/>
      <c r="H24" s="119"/>
      <c r="I24" s="128"/>
      <c r="J24" s="203"/>
      <c r="K24" s="206" t="str">
        <f>IF(AND(D9="PRIVATE DISTRIBUTION",E14="Beer"),"Handling Charge","")</f>
        <v/>
      </c>
      <c r="L24" s="209" t="str">
        <f>IF(K24="","",IF(E23="Keg",0,IF(AND(D9="PRIVATE DISTRIBUTION",E14="Beer"),0.0283*Calculations!B9,"0.0000")))</f>
        <v/>
      </c>
      <c r="M24" s="205"/>
      <c r="N24" s="129"/>
      <c r="O24" s="119"/>
    </row>
    <row r="25" spans="1:15" x14ac:dyDescent="0.35">
      <c r="A25" s="119"/>
      <c r="B25" s="128"/>
      <c r="C25" s="231"/>
      <c r="D25" s="234"/>
      <c r="E25" s="235"/>
      <c r="F25" s="233"/>
      <c r="G25" s="129"/>
      <c r="H25" s="119"/>
      <c r="I25" s="128"/>
      <c r="J25" s="203"/>
      <c r="K25" s="206" t="str">
        <f>IF(D9="","",IF(E18="Yes","Add-On cost per unit",""))</f>
        <v/>
      </c>
      <c r="L25" s="252" t="str">
        <f>IF(D32="","",IF(D9="MBLL DISTRIBUTION",SUM(E32/Calculations!B6*Calculations!B4),IF('Trial Pricing Calculator'!D9="PRIVATE DISTRIBUTION",'Trial Pricing Calculator'!E32,"0.0000")))</f>
        <v/>
      </c>
      <c r="M25" s="205"/>
      <c r="N25" s="129"/>
      <c r="O25" s="119"/>
    </row>
    <row r="26" spans="1:15" x14ac:dyDescent="0.35">
      <c r="A26" s="119"/>
      <c r="B26" s="128"/>
      <c r="C26" s="231"/>
      <c r="D26" s="234" t="str">
        <f>IF(D9="MBLL DISTRIBUTION","Product Shipping Location","")</f>
        <v/>
      </c>
      <c r="E26" s="235"/>
      <c r="F26" s="233"/>
      <c r="G26" s="129"/>
      <c r="H26" s="119"/>
      <c r="I26" s="128"/>
      <c r="J26" s="203"/>
      <c r="K26" s="204"/>
      <c r="L26" s="204"/>
      <c r="M26" s="205"/>
      <c r="N26" s="129"/>
      <c r="O26" s="119"/>
    </row>
    <row r="27" spans="1:15" x14ac:dyDescent="0.35">
      <c r="A27" s="119"/>
      <c r="B27" s="128"/>
      <c r="C27" s="231"/>
      <c r="D27" s="234" t="str">
        <f>IF(D9="MBLL DISTRIBUTION","Freight Zone","")</f>
        <v/>
      </c>
      <c r="E27" s="240"/>
      <c r="F27" s="233"/>
      <c r="G27" s="129"/>
      <c r="H27" s="119"/>
      <c r="I27" s="128"/>
      <c r="J27" s="203"/>
      <c r="K27" s="204"/>
      <c r="L27" s="204"/>
      <c r="M27" s="205"/>
      <c r="N27" s="129"/>
      <c r="O27" s="119"/>
    </row>
    <row r="28" spans="1:15" ht="14.5" customHeight="1" x14ac:dyDescent="0.35">
      <c r="A28" s="119"/>
      <c r="B28" s="128"/>
      <c r="C28" s="231"/>
      <c r="D28" s="234" t="str">
        <f>IF(D9="","",IF(D9="MBLL DISTRIBUTION","Duty Type",""))</f>
        <v/>
      </c>
      <c r="E28" s="235"/>
      <c r="F28" s="233"/>
      <c r="G28" s="129"/>
      <c r="H28" s="119"/>
      <c r="I28" s="128"/>
      <c r="J28" s="203"/>
      <c r="K28" s="204"/>
      <c r="L28" s="204"/>
      <c r="M28" s="205"/>
      <c r="N28" s="129"/>
      <c r="O28" s="119"/>
    </row>
    <row r="29" spans="1:15" ht="14.5" customHeight="1" x14ac:dyDescent="0.35">
      <c r="A29" s="119"/>
      <c r="B29" s="128"/>
      <c r="C29" s="231"/>
      <c r="D29" s="234" t="str">
        <f>IF(D9="","","Currency")</f>
        <v/>
      </c>
      <c r="E29" s="235"/>
      <c r="F29" s="233"/>
      <c r="G29" s="129"/>
      <c r="H29" s="119"/>
      <c r="I29" s="128"/>
      <c r="J29" s="203"/>
      <c r="K29" s="204"/>
      <c r="L29" s="204"/>
      <c r="M29" s="205"/>
      <c r="N29" s="129"/>
      <c r="O29" s="119"/>
    </row>
    <row r="30" spans="1:15" ht="15" customHeight="1" x14ac:dyDescent="0.35">
      <c r="A30" s="119"/>
      <c r="B30" s="128"/>
      <c r="C30" s="231"/>
      <c r="D30" s="241"/>
      <c r="E30" s="242"/>
      <c r="F30" s="233"/>
      <c r="G30" s="129"/>
      <c r="H30" s="119"/>
      <c r="I30" s="128"/>
      <c r="J30" s="203"/>
      <c r="K30" s="204"/>
      <c r="L30" s="204"/>
      <c r="M30" s="205"/>
      <c r="N30" s="129"/>
      <c r="O30" s="119"/>
    </row>
    <row r="31" spans="1:15" ht="15" customHeight="1" x14ac:dyDescent="0.35">
      <c r="A31" s="119"/>
      <c r="B31" s="128"/>
      <c r="C31" s="231"/>
      <c r="D31" s="243"/>
      <c r="E31" s="244"/>
      <c r="F31" s="233"/>
      <c r="G31" s="129"/>
      <c r="H31" s="119"/>
      <c r="I31" s="128"/>
      <c r="J31" s="203"/>
      <c r="K31" s="204"/>
      <c r="L31" s="204"/>
      <c r="M31" s="205"/>
      <c r="N31" s="129"/>
      <c r="O31" s="119"/>
    </row>
    <row r="32" spans="1:15" ht="14.5" customHeight="1" x14ac:dyDescent="0.35">
      <c r="A32" s="119"/>
      <c r="B32" s="128"/>
      <c r="C32" s="231"/>
      <c r="D32" s="245" t="str">
        <f>IF(AND(D9="MBLL DISTRIBUTION",E18="Yes"),"     Total Add-on Cost per Case","")</f>
        <v/>
      </c>
      <c r="E32" s="244"/>
      <c r="F32" s="233"/>
      <c r="G32" s="129"/>
      <c r="H32" s="119"/>
      <c r="I32" s="128"/>
      <c r="J32" s="203"/>
      <c r="K32" s="204"/>
      <c r="L32" s="204"/>
      <c r="M32" s="205"/>
      <c r="N32" s="129"/>
      <c r="O32" s="119"/>
    </row>
    <row r="33" spans="1:26" ht="14.5" customHeight="1" x14ac:dyDescent="0.35">
      <c r="A33" s="119"/>
      <c r="B33" s="128"/>
      <c r="C33" s="231"/>
      <c r="D33" s="246" t="str">
        <f>IF(AND(D9="MBLL DISTRIBUTION",E18="Yes"),"Case Cost (Before Add-on Cost)   ","")</f>
        <v/>
      </c>
      <c r="E33" s="247" t="str">
        <f>IF(D33="","",IFERROR(IF(AND(D9="MBLL DISTRIBUTION",E18="Yes"),Calculations!B3,IF(AND(D9="PRIVATE DISTRIBUTION",E18="Yes",K9="Gross Price to Brewer"),SUM(L9-E32),SUM(E32+Calculations!B18))),0))</f>
        <v/>
      </c>
      <c r="F33" s="233"/>
      <c r="G33" s="129"/>
      <c r="H33" s="119"/>
      <c r="I33" s="128"/>
      <c r="J33" s="203"/>
      <c r="K33" s="204"/>
      <c r="L33" s="204"/>
      <c r="M33" s="205"/>
      <c r="N33" s="129"/>
      <c r="O33" s="119"/>
    </row>
    <row r="34" spans="1:26" x14ac:dyDescent="0.35">
      <c r="A34" s="119"/>
      <c r="B34" s="128"/>
      <c r="C34" s="231"/>
      <c r="D34" s="243"/>
      <c r="E34" s="244"/>
      <c r="F34" s="233"/>
      <c r="G34" s="129"/>
      <c r="H34" s="119"/>
      <c r="I34" s="128"/>
      <c r="J34" s="203"/>
      <c r="K34" s="204"/>
      <c r="L34" s="204"/>
      <c r="M34" s="205"/>
      <c r="N34" s="129"/>
      <c r="O34" s="119"/>
    </row>
    <row r="35" spans="1:26" ht="10" customHeight="1" x14ac:dyDescent="0.35">
      <c r="A35" s="119"/>
      <c r="B35" s="128"/>
      <c r="C35" s="248"/>
      <c r="D35" s="249"/>
      <c r="E35" s="250"/>
      <c r="F35" s="251"/>
      <c r="G35" s="129"/>
      <c r="H35" s="119"/>
      <c r="I35" s="128"/>
      <c r="J35" s="210"/>
      <c r="K35" s="211"/>
      <c r="L35" s="211"/>
      <c r="M35" s="212"/>
      <c r="N35" s="129"/>
      <c r="O35" s="119"/>
    </row>
    <row r="36" spans="1:26" ht="15" thickBot="1" x14ac:dyDescent="0.4">
      <c r="A36" s="119"/>
      <c r="B36" s="131"/>
      <c r="C36" s="132"/>
      <c r="D36" s="132"/>
      <c r="E36" s="133"/>
      <c r="F36" s="133"/>
      <c r="G36" s="134"/>
      <c r="H36" s="119"/>
      <c r="I36" s="128"/>
      <c r="J36" s="130"/>
      <c r="K36" s="130"/>
      <c r="L36" s="130"/>
      <c r="M36" s="130"/>
      <c r="N36" s="129"/>
      <c r="O36" s="119"/>
    </row>
    <row r="37" spans="1:26" ht="10" customHeight="1" thickBot="1" x14ac:dyDescent="0.4">
      <c r="A37" s="119"/>
      <c r="B37" s="123"/>
      <c r="C37" s="126"/>
      <c r="D37" s="126"/>
      <c r="E37" s="126"/>
      <c r="F37" s="126"/>
      <c r="G37" s="127"/>
      <c r="H37" s="119"/>
      <c r="I37" s="128"/>
      <c r="J37" s="130"/>
      <c r="K37" s="130"/>
      <c r="L37" s="130"/>
      <c r="M37" s="130"/>
      <c r="N37" s="129"/>
      <c r="O37" s="119"/>
    </row>
    <row r="38" spans="1:26" ht="35" customHeight="1" thickBot="1" x14ac:dyDescent="0.4">
      <c r="A38" s="119"/>
      <c r="B38" s="128"/>
      <c r="C38" s="135"/>
      <c r="D38" s="195" t="s">
        <v>276</v>
      </c>
      <c r="E38" s="161">
        <f>IF(AND(D9="MBLL DISTRIBUTION",E18="Yes"),Calculations!B15,Calculations!B17)</f>
        <v>0</v>
      </c>
      <c r="F38" s="162"/>
      <c r="G38" s="129"/>
      <c r="H38" s="119"/>
      <c r="I38" s="128"/>
      <c r="J38" s="130"/>
      <c r="K38" s="146" t="str">
        <f>IF(E14="Beer","Licensee/Vendor Price                                       (before taxes and deposit)","")</f>
        <v/>
      </c>
      <c r="L38" s="163" t="str">
        <f>IF(AND(D9="MBLL DISTRIBUTION",E14="Beer",'Trial Pricing Calculator'!K9="Retail Price"),Calculations!I32,IF(AND(D9="MBLL DISTRIBUTION",E14="Beer",'Trial Pricing Calculator'!K9="Case Cost"),Calculations!G28,IF(AND('Trial Pricing Calculator'!D9="PRIVATE DISTRIBUTION",'Trial Pricing Calculator'!E14="Beer"),Calculations!B19,"")))</f>
        <v/>
      </c>
      <c r="M38" s="130"/>
      <c r="N38" s="129"/>
      <c r="O38" s="119"/>
    </row>
    <row r="39" spans="1:26" ht="10" customHeight="1" thickBot="1" x14ac:dyDescent="0.4">
      <c r="A39" s="119"/>
      <c r="B39" s="128"/>
      <c r="C39" s="130"/>
      <c r="D39" s="130"/>
      <c r="E39" s="130"/>
      <c r="F39" s="135"/>
      <c r="G39" s="129"/>
      <c r="H39" s="119"/>
      <c r="I39" s="128"/>
      <c r="J39" s="130"/>
      <c r="K39" s="130"/>
      <c r="L39" s="130"/>
      <c r="M39" s="130"/>
      <c r="N39" s="129"/>
      <c r="O39" s="119"/>
    </row>
    <row r="40" spans="1:26" ht="30" customHeight="1" thickBot="1" x14ac:dyDescent="0.4">
      <c r="A40" s="119"/>
      <c r="B40" s="128"/>
      <c r="C40" s="130"/>
      <c r="D40" s="196" t="s">
        <v>156</v>
      </c>
      <c r="E40" s="160">
        <f>IFERROR(IF(E14="Spirit",Calculations!J22,IF(OR(E15="Sake",E15="Sparkling Wine",E15="All Other Wine"),Calculations!K22,IF(E15="Fortified Wine",Calculations!K24,IF(AND(OR(E15="Spirit Cooler",E15="Wine Cooler",E15="Cider",E15="Malt Based Cooler",E15="RTD - NGS/Bulk Spirits"),E14="Ready_to_Drink"),Calculations!L22,IF(E15="One-Pour Cocktail",Calculations!L24,IF(E14="Beer",Calculations!M22,0)))))),0)</f>
        <v>0</v>
      </c>
      <c r="F40" s="162"/>
      <c r="G40" s="129"/>
      <c r="H40" s="119"/>
      <c r="I40" s="128"/>
      <c r="J40" s="130"/>
      <c r="K40" s="170" t="str">
        <f>IF(D9="","",IF(AND(D9="MBLL DISTRIBUTION",E18="Yes"),"Final Case Cost",IF(AND(D9="MBLL DISTRIBUTION",OR(E18="No",E18="")),"Case Cost",IF(D9="PRIVATE DISTRIBUTION","Gross Price to Brewer",""))))</f>
        <v/>
      </c>
      <c r="L40" s="194" t="str">
        <f>IFERROR(IF(D9="","",IF(AND(D9="MBLL DISTRIBUTION",OR(E18="",E18="No")),ROUND(Calculations!B3,2),IF(AND(D9="MBLL DISTRIBUTION",E18="Yes",K9="Retail Price"),ROUND(Calculations!B3+'Trial Pricing Calculator'!E32,2),IF(AND(D9="MBLL DISTRIBUTION",E18="Yes",K9="Case Cost"),ROUND(Calculations!B3+E32,2),IF(AND('Trial Pricing Calculator'!D9="PRIVATE DISTRIBUTION",E18="Yes"),ROUND(Calculations!B18+E32,2),IF(AND('Trial Pricing Calculator'!D9="PRIVATE DISTRIBUTION",OR(E18="",E18="No")),ROUND(Calculations!B18,2),0)))))),"")</f>
        <v/>
      </c>
      <c r="M40" s="130"/>
      <c r="N40" s="129"/>
      <c r="O40" s="119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</row>
    <row r="41" spans="1:26" ht="15" thickBot="1" x14ac:dyDescent="0.4">
      <c r="A41" s="119"/>
      <c r="B41" s="131"/>
      <c r="C41" s="133"/>
      <c r="D41" s="133"/>
      <c r="E41" s="133"/>
      <c r="F41" s="133"/>
      <c r="G41" s="136"/>
      <c r="H41" s="119"/>
      <c r="I41" s="131"/>
      <c r="J41" s="133"/>
      <c r="K41" s="133"/>
      <c r="L41" s="133"/>
      <c r="M41" s="133"/>
      <c r="N41" s="136"/>
      <c r="O41" s="119"/>
    </row>
    <row r="42" spans="1:26" ht="15" customHeight="1" x14ac:dyDescent="0.35">
      <c r="A42" s="119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257" t="s">
        <v>293</v>
      </c>
      <c r="Q42" s="254"/>
      <c r="R42" s="254"/>
      <c r="S42" s="254"/>
      <c r="T42" s="254"/>
      <c r="U42" s="254"/>
      <c r="V42" s="255" t="s">
        <v>292</v>
      </c>
      <c r="W42" s="254"/>
      <c r="X42" s="254"/>
      <c r="Y42" s="254"/>
      <c r="Z42" s="254"/>
    </row>
  </sheetData>
  <sheetProtection algorithmName="SHA-512" hashValue="4y1IpAVc6ql8sK6ae+ZHMmiY9Tng6cMLc/hjuFK5OyDaUkJ1QIk3KbZ2PGz3Jt2+V7n4+UnjVDX/MmAik78xWg==" saltValue="83tNFK/jMLrnVDDABb7mHw==" spinCount="100000" sheet="1" objects="1" scenarios="1" selectLockedCells="1"/>
  <mergeCells count="8">
    <mergeCell ref="B2:N2"/>
    <mergeCell ref="B3:N3"/>
    <mergeCell ref="B4:N4"/>
    <mergeCell ref="J12:M12"/>
    <mergeCell ref="D9:E9"/>
    <mergeCell ref="C12:F12"/>
    <mergeCell ref="K8:L8"/>
    <mergeCell ref="D8:E8"/>
  </mergeCells>
  <conditionalFormatting sqref="D9">
    <cfRule type="containsText" dxfId="25" priority="79" operator="containsText" text="PRIVATE DISTRIBUTION">
      <formula>NOT(ISERROR(SEARCH("PRIVATE DISTRIBUTION",D9)))</formula>
    </cfRule>
    <cfRule type="containsText" dxfId="24" priority="80" operator="containsText" text="MBLL DISTRIBUTION">
      <formula>NOT(ISERROR(SEARCH("MBLL DISTRIBUTION",D9)))</formula>
    </cfRule>
  </conditionalFormatting>
  <conditionalFormatting sqref="E14">
    <cfRule type="expression" dxfId="23" priority="77">
      <formula>$D$9="PRIVATE DISTRIBUTION"</formula>
    </cfRule>
    <cfRule type="expression" dxfId="22" priority="78">
      <formula>$D$9="MBLL DISTRIBUTION"</formula>
    </cfRule>
  </conditionalFormatting>
  <conditionalFormatting sqref="E15">
    <cfRule type="expression" dxfId="21" priority="75">
      <formula>$D$9="PRIVATE DISTRIBUTION"</formula>
    </cfRule>
    <cfRule type="expression" dxfId="20" priority="76">
      <formula>$D$9="MBLL DISTRIBUTION"</formula>
    </cfRule>
  </conditionalFormatting>
  <conditionalFormatting sqref="E16">
    <cfRule type="expression" dxfId="19" priority="73">
      <formula>$D$9="PRIVATE DISTRIBUTION"</formula>
    </cfRule>
    <cfRule type="expression" dxfId="18" priority="74">
      <formula>$D$9="MBLL DISTRIBUTION"</formula>
    </cfRule>
  </conditionalFormatting>
  <conditionalFormatting sqref="E17">
    <cfRule type="expression" dxfId="17" priority="8">
      <formula>$D$9="MBLL DISTRIBUTION"</formula>
    </cfRule>
  </conditionalFormatting>
  <conditionalFormatting sqref="E18">
    <cfRule type="expression" dxfId="16" priority="56">
      <formula>$D$9="MBLL DISTRIBUTION"</formula>
    </cfRule>
  </conditionalFormatting>
  <conditionalFormatting sqref="E20:E24">
    <cfRule type="expression" dxfId="15" priority="62">
      <formula>$D$9="MBLL DISTRIBUTION"</formula>
    </cfRule>
  </conditionalFormatting>
  <conditionalFormatting sqref="E21:E24">
    <cfRule type="expression" dxfId="14" priority="63">
      <formula>$D$9="PRIVATE DISTRIBUTION"</formula>
    </cfRule>
  </conditionalFormatting>
  <conditionalFormatting sqref="E26:E28">
    <cfRule type="expression" dxfId="13" priority="46">
      <formula>$D$9="MBLL DISTRIBUTION"</formula>
    </cfRule>
  </conditionalFormatting>
  <conditionalFormatting sqref="E29">
    <cfRule type="expression" dxfId="12" priority="6">
      <formula>$D$9="MBLL DISTRIBUTION"</formula>
    </cfRule>
    <cfRule type="expression" dxfId="11" priority="7">
      <formula>$D$9="PRIVATE DISTRIBUTION"</formula>
    </cfRule>
  </conditionalFormatting>
  <conditionalFormatting sqref="E32:E33">
    <cfRule type="expression" dxfId="10" priority="1">
      <formula>$E$18="Yes"</formula>
    </cfRule>
  </conditionalFormatting>
  <conditionalFormatting sqref="K9">
    <cfRule type="expression" dxfId="9" priority="4">
      <formula>$D$9="PRIVATE DISTRIBUTION"</formula>
    </cfRule>
    <cfRule type="expression" dxfId="8" priority="11">
      <formula>$D$9="MBLL DISTRIBUTION"</formula>
    </cfRule>
  </conditionalFormatting>
  <conditionalFormatting sqref="K38">
    <cfRule type="expression" dxfId="7" priority="52">
      <formula>$E$14="Beer"</formula>
    </cfRule>
  </conditionalFormatting>
  <conditionalFormatting sqref="K40">
    <cfRule type="expression" dxfId="6" priority="23">
      <formula>$D$9="MBLL DISTRIBUTION"</formula>
    </cfRule>
    <cfRule type="expression" dxfId="5" priority="24">
      <formula>$D$9="PRIVATE DISTRIBUTION"</formula>
    </cfRule>
  </conditionalFormatting>
  <conditionalFormatting sqref="L9">
    <cfRule type="expression" dxfId="4" priority="3">
      <formula>$D$9="PRIVATE DISTRIBUTION"</formula>
    </cfRule>
    <cfRule type="expression" dxfId="3" priority="10">
      <formula>$D$9="MBLL DISTRIBUTION"</formula>
    </cfRule>
  </conditionalFormatting>
  <conditionalFormatting sqref="L38">
    <cfRule type="expression" dxfId="2" priority="51">
      <formula>$E$14="Beer"</formula>
    </cfRule>
  </conditionalFormatting>
  <conditionalFormatting sqref="L40">
    <cfRule type="expression" dxfId="1" priority="21">
      <formula>$D$9="PRIVATE DISTRIBUTION"</formula>
    </cfRule>
    <cfRule type="expression" dxfId="0" priority="22">
      <formula>$D$9="MBLL DISTRIBUTION"</formula>
    </cfRule>
  </conditionalFormatting>
  <dataValidations count="14">
    <dataValidation type="list" allowBlank="1" showInputMessage="1" showErrorMessage="1" sqref="D9:E9" xr:uid="{9EE89335-2E38-49FF-AF0E-F2F0A11684DF}">
      <formula1>"MBLL DISTRIBUTION,PRIVATE DISTRIBUTION"</formula1>
    </dataValidation>
    <dataValidation type="list" allowBlank="1" showInputMessage="1" showErrorMessage="1" sqref="E14" xr:uid="{79C354C4-370C-4B22-8C7F-E3B05E9C5C6F}">
      <formula1>IF(D9="MBLL DISTRIBUTION",MBLL_Product_Category,Private_Product_Category)</formula1>
    </dataValidation>
    <dataValidation type="list" allowBlank="1" showInputMessage="1" showErrorMessage="1" sqref="E15" xr:uid="{8C85DAAA-7D81-45F6-94C4-99983306FE33}">
      <formula1>IF(E14="","",IF(E14="Spirit",Spirit,IF(E14="Wine",Wine,IF(AND(D9="MBLL DISTRIBUTION",E14="Ready_to_Drink"),Ready_to_Drink,IF(AND(D9="PRIVATE DISTRIBUTION",E14="Ready_to_Drink"),Ready_to_Drink_Private,IF(E14="Beer",Beer,""))))))</formula1>
    </dataValidation>
    <dataValidation type="list" allowBlank="1" showInputMessage="1" showErrorMessage="1" sqref="E16" xr:uid="{D5D9E9D1-58CF-4BC4-88FA-B1DE29140486}">
      <formula1>"Yes,No"</formula1>
    </dataValidation>
    <dataValidation type="list" allowBlank="1" showInputMessage="1" showErrorMessage="1" sqref="E23" xr:uid="{03520251-FB27-4F2D-889D-468D5A1D4644}">
      <formula1>"Can,Bottle,Keg"</formula1>
    </dataValidation>
    <dataValidation type="list" allowBlank="1" showInputMessage="1" showErrorMessage="1" sqref="E27" xr:uid="{9E32AE92-F6E3-4E38-8FC8-1CFF78FD019B}">
      <formula1>IF($E$26="Canada",Canada,IF($E$26="USA",USA,IF($E$26="International",International,"")))</formula1>
    </dataValidation>
    <dataValidation type="list" allowBlank="1" showInputMessage="1" showErrorMessage="1" sqref="E28" xr:uid="{2F48F1CC-5B7E-4470-A7E1-333E92943B1F}">
      <formula1>IF($E$26="Canada",CanadaF,IF(E26="Private Distributor",Private_Distribution,InternationalF))</formula1>
    </dataValidation>
    <dataValidation type="list" allowBlank="1" showInputMessage="1" showErrorMessage="1" sqref="E29" xr:uid="{2E1FDAB3-D92C-4E89-A98D-399EF0E0292A}">
      <formula1>IF($D$9="MBLL DISTRIBUTION",Currency_MBLL,Currency_Private)</formula1>
    </dataValidation>
    <dataValidation type="list" allowBlank="1" showInputMessage="1" showErrorMessage="1" sqref="E18" xr:uid="{70ED591E-C721-472C-A93E-F0D793E84C6F}">
      <formula1>"No,Yes"</formula1>
    </dataValidation>
    <dataValidation type="whole" allowBlank="1" showErrorMessage="1" error="Please input the number of units per case" promptTitle="Units per Case" prompt="Please put number of units per case" sqref="E20" xr:uid="{543DED24-5232-4E86-8775-6F42312CBCF9}">
      <formula1>1</formula1>
      <formula2>9999</formula2>
    </dataValidation>
    <dataValidation type="whole" allowBlank="1" showInputMessage="1" showErrorMessage="1" error="Please input the number of units in a selling package" sqref="E22" xr:uid="{7712D560-F6A7-498F-AD65-E52B209E99D4}">
      <formula1>1</formula1>
      <formula2>9999</formula2>
    </dataValidation>
    <dataValidation type="list" allowBlank="1" showInputMessage="1" showErrorMessage="1" sqref="E17" xr:uid="{D4F54F73-7A36-498B-B23D-B2DBFF6DAC6E}">
      <formula1>IF($D$9="MBLL DISTRIBUTION",Certificate_of_Origin,"")</formula1>
    </dataValidation>
    <dataValidation type="list" allowBlank="1" showInputMessage="1" showErrorMessage="1" sqref="E26" xr:uid="{FF199249-B4BF-4371-8925-7ECD6B0F5F9F}">
      <formula1>IF($D$9="MBLL DISTRIBUTION",Freight,"")</formula1>
    </dataValidation>
    <dataValidation type="list" allowBlank="1" showInputMessage="1" showErrorMessage="1" error="Not editable field. Please select from dropdown." prompt="Please select Product Category then select from the Drop-down." sqref="K9" xr:uid="{47FFA39D-B113-499B-8EA3-ED71A90DF9A8}">
      <formula1>IF(AND(D9="PRIVATE DISTRIBUTION",E14="Beer"),Private_Distribution_Beer,IF(AND(D9="PRIVATE DISTRIBUTION",E14="Ready_to_Drink"),Private_Distribution_RTD,IF(D9="MBLL DISTRIBUTION",Select,"")))</formula1>
    </dataValidation>
  </dataValidations>
  <hyperlinks>
    <hyperlink ref="V42" r:id="rId1" display="*Please refer to the Pricing Information Manual that can be found on MBLL Partners website: " xr:uid="{4938B2F8-7B66-4EDE-9A01-22BCF4A0CF6B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X258"/>
  <sheetViews>
    <sheetView zoomScaleNormal="100" workbookViewId="0">
      <selection activeCell="D7" sqref="D7"/>
    </sheetView>
  </sheetViews>
  <sheetFormatPr defaultRowHeight="14.5" x14ac:dyDescent="0.35"/>
  <cols>
    <col min="1" max="1" width="26.36328125" customWidth="1"/>
    <col min="2" max="2" width="14.36328125" customWidth="1"/>
    <col min="4" max="5" width="16.81640625" customWidth="1"/>
    <col min="6" max="6" width="18.54296875" customWidth="1"/>
    <col min="7" max="7" width="16.81640625" customWidth="1"/>
    <col min="8" max="8" width="16.6328125" customWidth="1"/>
    <col min="9" max="9" width="23.1796875" customWidth="1"/>
    <col min="10" max="14" width="14.81640625" bestFit="1" customWidth="1"/>
    <col min="15" max="15" width="3.7265625" customWidth="1"/>
    <col min="16" max="16" width="26.81640625" customWidth="1"/>
    <col min="19" max="19" width="26.36328125" customWidth="1"/>
  </cols>
  <sheetData>
    <row r="1" spans="1:24" x14ac:dyDescent="0.35">
      <c r="A1" s="101" t="s">
        <v>136</v>
      </c>
      <c r="P1" s="285" t="s">
        <v>239</v>
      </c>
      <c r="Q1" s="286" t="s">
        <v>28</v>
      </c>
      <c r="S1" s="285" t="s">
        <v>302</v>
      </c>
      <c r="T1" s="286" t="s">
        <v>28</v>
      </c>
      <c r="V1" s="180" t="s">
        <v>25</v>
      </c>
      <c r="W1" s="180"/>
      <c r="X1" s="180"/>
    </row>
    <row r="2" spans="1:24" x14ac:dyDescent="0.35">
      <c r="D2" s="335" t="s">
        <v>49</v>
      </c>
      <c r="E2" s="336"/>
      <c r="F2" s="336"/>
      <c r="G2" s="337"/>
      <c r="J2" s="332" t="s">
        <v>25</v>
      </c>
      <c r="K2" s="333"/>
      <c r="L2" s="333"/>
      <c r="M2" s="333"/>
      <c r="N2" s="334"/>
      <c r="P2" s="287" t="s">
        <v>9</v>
      </c>
      <c r="Q2" s="288">
        <v>19.399999999999999</v>
      </c>
      <c r="S2" s="287" t="s">
        <v>9</v>
      </c>
      <c r="T2" s="288">
        <v>19.399999999999999</v>
      </c>
      <c r="V2" s="299" t="s">
        <v>9</v>
      </c>
      <c r="W2" s="300"/>
      <c r="X2" s="301"/>
    </row>
    <row r="3" spans="1:24" x14ac:dyDescent="0.35">
      <c r="A3" s="112" t="s">
        <v>22</v>
      </c>
      <c r="B3" s="171" t="str">
        <f>IF(AND('Trial Pricing Calculator'!D9="MBLL DISTRIBUTION",'Trial Pricing Calculator'!K9="Case Cost"),'Trial Pricing Calculator'!L9,IF(AND('Trial Pricing Calculator'!D9="MBLL DISTRIBUTION",'Trial Pricing Calculator'!K9="Retail Price"),ROUND(SUM(Calculations!A32*Calculations!B6/B4),2),""))</f>
        <v/>
      </c>
      <c r="D3" s="13" t="s">
        <v>36</v>
      </c>
      <c r="E3" s="14" t="s">
        <v>16</v>
      </c>
      <c r="F3" s="14" t="s">
        <v>37</v>
      </c>
      <c r="G3" s="15" t="s">
        <v>12</v>
      </c>
      <c r="J3" s="340" t="s">
        <v>36</v>
      </c>
      <c r="K3" s="338" t="s">
        <v>16</v>
      </c>
      <c r="L3" s="338" t="s">
        <v>37</v>
      </c>
      <c r="M3" s="338" t="s">
        <v>301</v>
      </c>
      <c r="N3" s="339" t="s">
        <v>244</v>
      </c>
      <c r="P3" s="287" t="s">
        <v>16</v>
      </c>
      <c r="Q3" s="288">
        <v>3.2</v>
      </c>
      <c r="S3" s="287" t="s">
        <v>16</v>
      </c>
      <c r="T3" s="288">
        <v>3.2</v>
      </c>
      <c r="V3" s="182" t="s">
        <v>251</v>
      </c>
      <c r="W3" s="293" t="s">
        <v>25</v>
      </c>
      <c r="X3" s="294" t="s">
        <v>268</v>
      </c>
    </row>
    <row r="4" spans="1:24" x14ac:dyDescent="0.35">
      <c r="A4" s="113" t="s">
        <v>23</v>
      </c>
      <c r="B4" s="114">
        <f>IFERROR(VLOOKUP('Trial Pricing Calculator'!E29,Rates!K:L,2,0),1)</f>
        <v>1</v>
      </c>
      <c r="D4" s="43">
        <f>IF(OR('Trial Pricing Calculator'!E28="",'Trial Pricing Calculator'!E28="Excise",'Trial Pricing Calculator'!E28="Duty Paid",'Trial Pricing Calculator'!E17="Yes",'Trial Pricing Calculator'!E26="Canada",'Trial Pricing Calculator'!E15="Tequila",'Trial Pricing Calculator'!E15="Brandy/Cognac",'Trial Pricing Calculator'!E15="Whisk(e)y"),0,IF('Trial Pricing Calculator'!E15="Gin",(Calculations!B8*(Calculations!B5/1000)*0.0492)*0.01,IF('Trial Pricing Calculator'!E15="Rum",(Calculations!B8*(Calculations!B5/1000)*0.2456)*0.01,IF('Trial Pricing Calculator'!E15="Vodka",(Calculations!B8*(Calculations!B5/1000)*0.1228)*0.01,IF('Trial Pricing Calculator'!E15="Liqueur",(Calculations!B8*(Calculations!B5/1000)*0.1228)*0.01,IF('Trial Pricing Calculator'!E15="Miscellaneous Spirit",(Calculations!B8*(Calculations!B5/1000)*0.1228)*0.01,0))))))</f>
        <v>0</v>
      </c>
      <c r="E4" s="44">
        <f>IF(OR('Trial Pricing Calculator'!E28="",'Trial Pricing Calculator'!E28="Excise",'Trial Pricing Calculator'!E28="Duty Paid",'Trial Pricing Calculator'!E15="Sake",'Trial Pricing Calculator'!E17="Yes",'Trial Pricing Calculator'!E15="Sparkling Wine",Calculations!B7&gt;2,Calculations!B5&gt;19.9),0,IF(AND(B5&gt;14.9),0,IF(AND(B5&gt;=7,B5&lt;13.8),B7*0.0187,IF(AND(B5&gt;=13.9,B5&lt;14.9),B7*0.0468,IF(B5&lt;7,B7*0.0187,IF(B5&lt;15,B7*0.0468,0))))))</f>
        <v>0</v>
      </c>
      <c r="F4" s="45">
        <f>IF(OR('Trial Pricing Calculator'!E28="Excise",'Trial Pricing Calculator'!E28="Duty Paid",'Trial Pricing Calculator'!E28="",'Trial Pricing Calculator'!E17="Yes"),0,IF('Trial Pricing Calculator'!E15="Cider",Calculations!B7*0.2816,(Calculations!B5*Calculations!B7*0.1228)*0.01))</f>
        <v>0</v>
      </c>
      <c r="G4" s="12">
        <v>0</v>
      </c>
      <c r="J4" s="340"/>
      <c r="K4" s="338"/>
      <c r="L4" s="338"/>
      <c r="M4" s="338"/>
      <c r="N4" s="339"/>
      <c r="P4" s="287" t="s">
        <v>298</v>
      </c>
      <c r="Q4" s="288">
        <v>2.4</v>
      </c>
      <c r="S4" s="287" t="s">
        <v>298</v>
      </c>
      <c r="T4" s="288">
        <v>2.4</v>
      </c>
      <c r="V4" s="184">
        <v>101</v>
      </c>
      <c r="W4" s="185">
        <v>40</v>
      </c>
      <c r="X4" s="295">
        <f>ROUND(1-(100/(W4+100)),6)</f>
        <v>0.28571400000000002</v>
      </c>
    </row>
    <row r="5" spans="1:24" x14ac:dyDescent="0.35">
      <c r="A5" s="113" t="s">
        <v>164</v>
      </c>
      <c r="B5" s="114">
        <f>'Trial Pricing Calculator'!E24*100</f>
        <v>0</v>
      </c>
      <c r="D5" s="329" t="s">
        <v>48</v>
      </c>
      <c r="E5" s="330"/>
      <c r="F5" s="330"/>
      <c r="G5" s="331"/>
      <c r="J5" s="27">
        <f>IF((J10&lt;J13),J13,J10)</f>
        <v>0</v>
      </c>
      <c r="K5" s="27">
        <f>IF((K10&lt;K13),K13,K10)</f>
        <v>0</v>
      </c>
      <c r="L5" s="27">
        <f>IF((L10&lt;L13),L13,L10)</f>
        <v>0</v>
      </c>
      <c r="M5" s="27">
        <f>IF((M10&lt;M13),M13,M10)</f>
        <v>0</v>
      </c>
      <c r="N5" s="27" t="str">
        <f>IF((N10&lt;N13),N13,N10)</f>
        <v/>
      </c>
      <c r="P5" s="287" t="s">
        <v>299</v>
      </c>
      <c r="Q5" s="288">
        <v>1.33</v>
      </c>
      <c r="S5" s="287" t="s">
        <v>299</v>
      </c>
      <c r="T5" s="288">
        <v>1.33</v>
      </c>
      <c r="V5" s="187">
        <v>100</v>
      </c>
      <c r="W5" s="188">
        <v>153</v>
      </c>
      <c r="X5" s="296">
        <f>ROUND(1-(100/(W5+100)),6)</f>
        <v>0.60474300000000003</v>
      </c>
    </row>
    <row r="6" spans="1:24" x14ac:dyDescent="0.35">
      <c r="A6" s="113" t="s">
        <v>151</v>
      </c>
      <c r="B6" s="114">
        <f>IF('Trial Pricing Calculator'!E20=0,0,'Trial Pricing Calculator'!E20)</f>
        <v>0</v>
      </c>
      <c r="D6" s="13" t="s">
        <v>36</v>
      </c>
      <c r="E6" s="14" t="s">
        <v>16</v>
      </c>
      <c r="F6" s="14" t="s">
        <v>37</v>
      </c>
      <c r="G6" s="15" t="s">
        <v>12</v>
      </c>
      <c r="J6" s="4"/>
      <c r="K6" s="5"/>
      <c r="L6" s="5"/>
      <c r="M6" s="5"/>
      <c r="N6" s="6"/>
      <c r="P6" s="158" t="s">
        <v>300</v>
      </c>
      <c r="Q6" s="289">
        <v>1.98</v>
      </c>
      <c r="S6" s="158" t="s">
        <v>300</v>
      </c>
      <c r="T6" s="289">
        <v>1.98</v>
      </c>
      <c r="V6" s="277" t="s">
        <v>269</v>
      </c>
      <c r="W6" s="278"/>
      <c r="X6" s="279"/>
    </row>
    <row r="7" spans="1:24" x14ac:dyDescent="0.35">
      <c r="A7" s="113" t="s">
        <v>169</v>
      </c>
      <c r="B7" s="114">
        <f>_xlfn.NUMBERVALUE(IF('Trial Pricing Calculator'!E22="",'Trial Pricing Calculator'!E21,SUM('Trial Pricing Calculator'!E21*'Trial Pricing Calculator'!E22)))</f>
        <v>0</v>
      </c>
      <c r="D7" s="310">
        <f>IF('Trial Pricing Calculator'!E28="Duty Paid",0,IF(B5&gt;7,Calculations!B7*B5*Rates!$U$7*0.01,IF(B5&lt;=7,SUM(B7*Rates!$U$8))))</f>
        <v>0</v>
      </c>
      <c r="E7" s="16">
        <f>IF('Trial Pricing Calculator'!E28="Duty Paid",0,IF(B5&lt;=7,B7*Rates!$U$10*Calculations!B9,Calculations!B7*Rates!$U$9))</f>
        <v>0</v>
      </c>
      <c r="F7" s="11">
        <f>IF(OR('Trial Pricing Calculator'!E28="Duty Paid",'Trial Pricing Calculator'!E28=""),0,IF(AND('Trial Pricing Calculator'!E15="Spirit Cooler",Calculations!B5&gt;7),((Calculations!B7)*Rates!U7)*0.01,IF(AND(OR('Trial Pricing Calculator'!E15="RTD - NGS/Bulk Spirits",'Trial Pricing Calculator'!E15="Spirit Cooler"),Calculations!B5&lt;=7),((Calculations!B7)*Rates!U8),IF(AND('Trial Pricing Calculator'!E15="One-Pour Cocktail",Calculations!B5&gt;7),((Calculations!B7)*Rates!U7*Calculations!B5)*0.01,IF(AND('Trial Pricing Calculator'!E15="Wine Cooler",Calculations!B5&gt;7),((Calculations!B7)*Rates!U9),IF(AND('Trial Pricing Calculator'!E15="Wine Cooler",Calculations!B5&lt;=7),((Calculations!B7)*Rates!U10),IF(AND('Trial Pricing Calculator'!E15="Cider",Calculations!B5&gt;7),((Calculations!B7)*Rates!U9),IF(AND('Trial Pricing Calculator'!E15="Cider",Calculations!B5&lt;=7),((Calculations!B7)*Rates!U10),IF(AND('Trial Pricing Calculator'!E15="Malt Based Cooler",'Trial Pricing Calculator'!E28="Customs"),Calculations!B7*Rates!U6,0)))))))))</f>
        <v>0</v>
      </c>
      <c r="G7" s="12">
        <f>IFERROR(IF('Trial Pricing Calculator'!E28="Customs",Calculations!B7*Rates!U6,0),"0.0000")</f>
        <v>0</v>
      </c>
      <c r="J7" s="4"/>
      <c r="K7" s="5"/>
      <c r="L7" s="5"/>
      <c r="M7" s="5"/>
      <c r="N7" s="6"/>
      <c r="V7" s="182" t="s">
        <v>251</v>
      </c>
      <c r="W7" s="293" t="s">
        <v>25</v>
      </c>
      <c r="X7" s="294" t="s">
        <v>268</v>
      </c>
    </row>
    <row r="8" spans="1:24" x14ac:dyDescent="0.35">
      <c r="A8" s="113" t="s">
        <v>168</v>
      </c>
      <c r="B8" s="258">
        <f>B7*1000</f>
        <v>0</v>
      </c>
      <c r="D8" s="329" t="s">
        <v>25</v>
      </c>
      <c r="E8" s="330"/>
      <c r="F8" s="330"/>
      <c r="G8" s="331"/>
      <c r="J8" s="4"/>
      <c r="K8" s="5"/>
      <c r="L8" s="5"/>
      <c r="M8" s="5"/>
      <c r="N8" s="6"/>
      <c r="V8" s="184">
        <v>201</v>
      </c>
      <c r="W8" s="189">
        <v>40</v>
      </c>
      <c r="X8" s="295">
        <f>ROUND(1-(100/(W8+100)),6)</f>
        <v>0.28571400000000002</v>
      </c>
    </row>
    <row r="9" spans="1:24" x14ac:dyDescent="0.35">
      <c r="A9" s="113" t="s">
        <v>166</v>
      </c>
      <c r="B9" s="114">
        <f>'Trial Pricing Calculator'!E22</f>
        <v>0</v>
      </c>
      <c r="D9" s="32" t="s">
        <v>36</v>
      </c>
      <c r="E9" s="33" t="s">
        <v>16</v>
      </c>
      <c r="F9" s="33" t="s">
        <v>37</v>
      </c>
      <c r="G9" s="34" t="s">
        <v>12</v>
      </c>
      <c r="J9" s="21" t="s">
        <v>76</v>
      </c>
      <c r="K9" s="22" t="s">
        <v>76</v>
      </c>
      <c r="L9" s="22" t="s">
        <v>76</v>
      </c>
      <c r="M9" s="22" t="s">
        <v>76</v>
      </c>
      <c r="N9" s="23" t="s">
        <v>76</v>
      </c>
      <c r="V9" s="187">
        <v>200</v>
      </c>
      <c r="W9" s="190">
        <v>95</v>
      </c>
      <c r="X9" s="296">
        <f>ROUND(1-(100/(W9+100)),6)</f>
        <v>0.48717899999999997</v>
      </c>
    </row>
    <row r="10" spans="1:24" x14ac:dyDescent="0.35">
      <c r="A10" s="113" t="s">
        <v>167</v>
      </c>
      <c r="B10" s="115">
        <f>'Trial Pricing Calculator'!E23</f>
        <v>0</v>
      </c>
      <c r="D10" s="30">
        <f>J5</f>
        <v>0</v>
      </c>
      <c r="E10" s="19">
        <f t="shared" ref="E10" si="0">K5</f>
        <v>0</v>
      </c>
      <c r="F10" s="31">
        <f>L5</f>
        <v>0</v>
      </c>
      <c r="G10" s="36" t="str">
        <f>IF('Trial Pricing Calculator'!D9="","",ROUND(IF('Trial Pricing Calculator'!D9="MBLL DISTRIBUTION",Calculations!M5,Calculations!N5),4))</f>
        <v/>
      </c>
      <c r="H10" s="48"/>
      <c r="J10" s="29">
        <f>IFERROR(IF('Trial Pricing Calculator'!E16="Yes",Calculations!B13*0.4,Calculations!B13*1.53),0)</f>
        <v>0</v>
      </c>
      <c r="K10" s="29">
        <f>IFERROR(IF('Trial Pricing Calculator'!E16="Yes",Calculations!B13*0.4,Calculations!B13*0.95),0)</f>
        <v>0</v>
      </c>
      <c r="L10" s="29">
        <f>IF(AND('Trial Pricing Calculator'!D9="PRIVATE DISTRIBUTION",'Trial Pricing Calculator'!K9="Gross Price to Brewer"),Calculations!B39,IF(AND('Trial Pricing Calculator'!D9="PRIVATE DISTRIBUTION",'Trial Pricing Calculator'!K9="Retail Price"),E43,IF(AND('Trial Pricing Calculator'!D9="PRIVATE DISTRIBUTION",'Trial Pricing Calculator'!K9="Licensee Price"),Calculations!B47,IF(AND(OR('Trial Pricing Calculator'!E15="Cider",'Trial Pricing Calculator'!E15="Spirit Cooler",'Trial Pricing Calculator'!E15="Wine Cooler",'Trial Pricing Calculator'!E15="Malt Based Cooler",'Trial Pricing Calculator'!E15="One-Pour Cocktail"),'Trial Pricing Calculator'!D9="MBLL DISTRIBUTION",'Trial Pricing Calculator'!E16="Yes"),SUM(Calculations!B13*0.4),IF(AND('Trial Pricing Calculator'!D9="MBLL DISTRIBUTION",'Trial Pricing Calculator'!E16="Yes",'Trial Pricing Calculator'!E15="RTD - NGS/Bulk Spirits"),SUM(Calculations!B13*0.7),IF(AND('Trial Pricing Calculator'!D9="MBLL DISTRIBUTION",'Trial Pricing Calculator'!E16="No"),SUM(Calculations!B13*0.95),0))))))</f>
        <v>0</v>
      </c>
      <c r="M10" s="28">
        <f>IFERROR(IF(AND('Trial Pricing Calculator'!D9="MBLL DISTRIBUTION",'Trial Pricing Calculator'!E16="Yes"),SUM(B13*0.36),SUM(B13*0.75)),"")</f>
        <v>0</v>
      </c>
      <c r="N10" s="29" t="str">
        <f>IF('Trial Pricing Calculator'!K9="Gross Price to Brewer",Calculations!B39,IF('Trial Pricing Calculator'!K9="Retail Price",Calculations!B43,IF('Trial Pricing Calculator'!K9="Licensee Price",Calculations!B47,"")))</f>
        <v/>
      </c>
      <c r="V10" s="299" t="s">
        <v>270</v>
      </c>
      <c r="W10" s="300"/>
      <c r="X10" s="301"/>
    </row>
    <row r="11" spans="1:24" x14ac:dyDescent="0.35">
      <c r="A11" s="113" t="s">
        <v>165</v>
      </c>
      <c r="B11" s="114">
        <f>IF('Trial Pricing Calculator'!E26="Canada",VLOOKUP('Trial Pricing Calculator'!E27,Rates!N:O,2,0),IF('Trial Pricing Calculator'!E26="USA",VLOOKUP('Trial Pricing Calculator'!E27,Rates!P:Q,2,0),IF('Trial Pricing Calculator'!E26="International",VLOOKUP('Trial Pricing Calculator'!E27,Rates!R:S,2,0),0)))</f>
        <v>0</v>
      </c>
      <c r="D11" s="329" t="s">
        <v>1</v>
      </c>
      <c r="E11" s="330"/>
      <c r="F11" s="330"/>
      <c r="G11" s="331"/>
      <c r="J11" s="24"/>
      <c r="K11" s="25"/>
      <c r="L11" s="25"/>
      <c r="M11" s="25"/>
      <c r="N11" s="26"/>
      <c r="P11" s="302" t="s">
        <v>12</v>
      </c>
      <c r="Q11" s="302"/>
      <c r="R11" s="302"/>
      <c r="S11" s="302"/>
      <c r="T11" s="302"/>
      <c r="V11" s="182" t="s">
        <v>251</v>
      </c>
      <c r="W11" s="293" t="s">
        <v>25</v>
      </c>
      <c r="X11" s="294" t="s">
        <v>268</v>
      </c>
    </row>
    <row r="12" spans="1:24" x14ac:dyDescent="0.35">
      <c r="A12" s="116" t="s">
        <v>237</v>
      </c>
      <c r="B12" s="117">
        <f>'Trial Pricing Calculator'!E21</f>
        <v>0</v>
      </c>
      <c r="D12" s="13" t="s">
        <v>36</v>
      </c>
      <c r="E12" s="14" t="s">
        <v>16</v>
      </c>
      <c r="F12" s="14" t="s">
        <v>37</v>
      </c>
      <c r="G12" s="15" t="s">
        <v>12</v>
      </c>
      <c r="J12" s="290" t="s">
        <v>0</v>
      </c>
      <c r="K12" s="291" t="s">
        <v>0</v>
      </c>
      <c r="L12" s="291" t="s">
        <v>0</v>
      </c>
      <c r="M12" s="291" t="s">
        <v>0</v>
      </c>
      <c r="N12" s="292" t="s">
        <v>0</v>
      </c>
      <c r="P12" s="302" t="s">
        <v>251</v>
      </c>
      <c r="Q12" s="302" t="s">
        <v>252</v>
      </c>
      <c r="R12" s="302"/>
      <c r="S12" s="302" t="s">
        <v>25</v>
      </c>
      <c r="T12" s="302"/>
      <c r="V12" s="183">
        <v>301</v>
      </c>
      <c r="W12" s="189">
        <v>40</v>
      </c>
      <c r="X12" s="295">
        <f>ROUND(1-(100/(W12+100)),6)</f>
        <v>0.28571400000000002</v>
      </c>
    </row>
    <row r="13" spans="1:24" x14ac:dyDescent="0.35">
      <c r="A13" s="110" t="s">
        <v>137</v>
      </c>
      <c r="B13" s="111">
        <f>IFERROR(IF('Trial Pricing Calculator'!L18="",SUM('Trial Pricing Calculator'!L14+'Trial Pricing Calculator'!L15+'Trial Pricing Calculator'!L16+'Trial Pricing Calculator'!L17),SUM('Trial Pricing Calculator'!L14+'Trial Pricing Calculator'!L15+'Trial Pricing Calculator'!L16+'Trial Pricing Calculator'!L17+'Trial Pricing Calculator'!L18)),0)</f>
        <v>0</v>
      </c>
      <c r="D13" s="10">
        <f>ROUND(IF('Trial Pricing Calculator'!E16="Yes",Calculations!B7*Rates!AB6,(Calculations!B7*Rates!W6)),4)</f>
        <v>0</v>
      </c>
      <c r="E13" s="16">
        <f>ROUND(IF('Trial Pricing Calculator'!E16="Yes",Calculations!B7*Rates!AB7,(Calculations!B7*Rates!W7)),4)</f>
        <v>0</v>
      </c>
      <c r="F13" s="11">
        <f>ROUND(IF('Trial Pricing Calculator'!E16="Yes",Calculations!B7*Rates!AB8,(Calculations!B7*Rates!W8)),4)</f>
        <v>0</v>
      </c>
      <c r="G13" s="17">
        <f>ROUND(IF('Trial Pricing Calculator'!E16="Yes",Calculations!B7*Rates!AB9,(Calculations!B7*Rates!W9)),4)</f>
        <v>0</v>
      </c>
      <c r="J13" s="118">
        <f>IFERROR(IF(AND('Trial Pricing Calculator'!D9="MBLL DISTRIBUTION",'Trial Pricing Calculator'!E14="Spirit",'Trial Pricing Calculator'!E16="No"),Q2*Calculations!B7,0),0)</f>
        <v>0</v>
      </c>
      <c r="K13" s="29">
        <f>IFERROR(IF(AND('Trial Pricing Calculator'!D9="MBLL DISTRIBUTION",'Trial Pricing Calculator'!E14="Wine",'Trial Pricing Calculator'!E16="No"),Q3*Calculations!B7,0),0)</f>
        <v>0</v>
      </c>
      <c r="L13" s="29">
        <f>IFERROR(IF(AND('Trial Pricing Calculator'!E16="Yes",'Trial Pricing Calculator'!E14="Ready_to_Drink"),0,SUM(Q4*Calculations!B7)),"0")</f>
        <v>0</v>
      </c>
      <c r="M13" s="29">
        <f>IF(AND('Trial Pricing Calculator'!D9="MBLL DISTRIBUTION",'Trial Pricing Calculator'!E14="Beer",'Trial Pricing Calculator'!E16="No"),SUM(Q6*Calculations!B7),0)</f>
        <v>0</v>
      </c>
      <c r="N13" s="28">
        <f>IFERROR(IF(AND('Trial Pricing Calculator'!D9="PRIVATE DISTRIBUTION",'Trial Pricing Calculator'!E14="Beer",'Trial Pricing Calculator'!E16="Yes"),0,SUM(Q5*Calculations!B7,0)),0)</f>
        <v>0</v>
      </c>
      <c r="P13" s="302">
        <v>1</v>
      </c>
      <c r="Q13" s="303">
        <v>10</v>
      </c>
      <c r="R13" s="302">
        <f>ROUND(1-(100/(Q13+100)),6)</f>
        <v>9.0909000000000004E-2</v>
      </c>
      <c r="S13" s="303">
        <v>36</v>
      </c>
      <c r="T13" s="302">
        <f>ROUND(1-(100/(S13+100)),6)</f>
        <v>0.264706</v>
      </c>
      <c r="V13" s="183">
        <v>302</v>
      </c>
      <c r="W13" s="189">
        <v>70</v>
      </c>
      <c r="X13" s="295">
        <f>ROUND(1-(100/(W13+100)),6)</f>
        <v>0.41176499999999999</v>
      </c>
    </row>
    <row r="14" spans="1:24" x14ac:dyDescent="0.35">
      <c r="B14" s="106"/>
      <c r="D14" s="329" t="s">
        <v>134</v>
      </c>
      <c r="E14" s="330"/>
      <c r="F14" s="330"/>
      <c r="G14" s="331"/>
      <c r="J14" s="24"/>
      <c r="K14" s="25"/>
      <c r="L14" s="5"/>
      <c r="M14" s="5"/>
      <c r="N14" s="6"/>
      <c r="P14" s="302">
        <v>0</v>
      </c>
      <c r="Q14" s="303">
        <v>49</v>
      </c>
      <c r="R14" s="302">
        <f>ROUND(1-(100/(Q14+100)),6)</f>
        <v>0.32885900000000001</v>
      </c>
      <c r="S14" s="303">
        <v>17</v>
      </c>
      <c r="T14" s="302">
        <f>ROUND(1-(100/(S14+100)),6)</f>
        <v>0.14529900000000001</v>
      </c>
      <c r="V14" s="187">
        <v>300</v>
      </c>
      <c r="W14" s="190">
        <v>95</v>
      </c>
      <c r="X14" s="296">
        <f>ROUND(1-(100/(W14+100)),6)</f>
        <v>0.48717899999999997</v>
      </c>
    </row>
    <row r="15" spans="1:24" x14ac:dyDescent="0.35">
      <c r="A15" s="108" t="s">
        <v>291</v>
      </c>
      <c r="B15" s="109">
        <f>IF('Trial Pricing Calculator'!E14="",0,IF(AND('Trial Pricing Calculator'!D9="MBLL DISTRIBUTION",'Trial Pricing Calculator'!E18="Yes"),SUM('Trial Pricing Calculator'!L20:L25)+Calculations!B13))</f>
        <v>0</v>
      </c>
      <c r="D15" s="13" t="s">
        <v>36</v>
      </c>
      <c r="E15" s="14" t="s">
        <v>16</v>
      </c>
      <c r="F15" s="14" t="s">
        <v>37</v>
      </c>
      <c r="G15" s="15" t="s">
        <v>12</v>
      </c>
      <c r="J15" s="24"/>
      <c r="K15" s="25"/>
      <c r="L15" s="5"/>
      <c r="M15" s="5"/>
      <c r="N15" s="6"/>
      <c r="V15" s="277" t="s">
        <v>271</v>
      </c>
      <c r="W15" s="278"/>
      <c r="X15" s="279"/>
    </row>
    <row r="16" spans="1:24" x14ac:dyDescent="0.35">
      <c r="D16" s="10">
        <f>IF('Trial Pricing Calculator'!E26="Canada",0,IF('Trial Pricing Calculator'!E26="USA",IF('Trial Pricing Calculator'!E15="Liqueur",Calculations!B7*0.31,Calculations!B7*0.38),IF('Trial Pricing Calculator'!E15="Liqueur",Calculations!B7*0.68,Calculations!B7*0.65)))</f>
        <v>0</v>
      </c>
      <c r="E16" s="16">
        <f>IF('Trial Pricing Calculator'!E26="Canada",0,IF('Trial Pricing Calculator'!E26="USA",Calculations!B7*0.15,Calculations!B7*0.44))</f>
        <v>0</v>
      </c>
      <c r="F16" s="11">
        <f>IF('Trial Pricing Calculator'!E26="Canada",0,IF('Trial Pricing Calculator'!E26="USA",Calculations!B7*0.22,Calculations!B7*0.41))</f>
        <v>0</v>
      </c>
      <c r="G16" s="17">
        <f>IF('Trial Pricing Calculator'!E26="Canada",0,IF('Trial Pricing Calculator'!E26="USA",Calculations!B7*0.57,Calculations!B7*0.64))</f>
        <v>0</v>
      </c>
      <c r="J16" s="24"/>
      <c r="K16" s="25"/>
      <c r="L16" s="5"/>
      <c r="M16" s="5"/>
      <c r="N16" s="6"/>
      <c r="V16" s="182" t="s">
        <v>239</v>
      </c>
      <c r="W16" s="297" t="s">
        <v>252</v>
      </c>
      <c r="X16" s="298"/>
    </row>
    <row r="17" spans="1:24" x14ac:dyDescent="0.35">
      <c r="A17" s="150" t="s">
        <v>250</v>
      </c>
      <c r="B17" s="230">
        <f>IF('Trial Pricing Calculator'!E14="",0,IF(AND('Trial Pricing Calculator'!D9="PRIVATE DISTRIBUTION",'Trial Pricing Calculator'!K9="Gross Price to Brewer"),Calculations!F39,IF(AND('Trial Pricing Calculator'!D9="PRIVATE DISTRIBUTION",'Trial Pricing Calculator'!K9="Retail Price"),Calculations!F43,IF(AND('Trial Pricing Calculator'!D9="PRIVATE DISTRIBUTION",'Trial Pricing Calculator'!K9="Licensee Price"),Calculations!F47,IF(AND('Trial Pricing Calculator'!D9="MBLL DISTRIBUTION",'Trial Pricing Calculator'!K9="Case Cost"),Calculations!D28,IF(AND('Trial Pricing Calculator'!D9="MBLL DISTRIBUTION",'Trial Pricing Calculator'!K9="Retail Price"),'Trial Pricing Calculator'!L9,""))))))</f>
        <v>0</v>
      </c>
      <c r="D17" s="329" t="s">
        <v>135</v>
      </c>
      <c r="E17" s="330"/>
      <c r="F17" s="330"/>
      <c r="G17" s="331"/>
      <c r="J17" s="24"/>
      <c r="K17" s="25"/>
      <c r="L17" s="5"/>
      <c r="M17" s="5"/>
      <c r="N17" s="6"/>
      <c r="V17" s="183">
        <v>1401</v>
      </c>
      <c r="W17" s="185">
        <v>10</v>
      </c>
      <c r="X17" s="295">
        <f>ROUND(1-(100/(W17+100)),6)</f>
        <v>9.0909000000000004E-2</v>
      </c>
    </row>
    <row r="18" spans="1:24" x14ac:dyDescent="0.35">
      <c r="A18" s="150" t="s">
        <v>246</v>
      </c>
      <c r="B18" s="256">
        <f>IFERROR(ROUND(IF('Trial Pricing Calculator'!K9="Gross Price to Brewer",Calculations!A39,IF('Trial Pricing Calculator'!K9="Retail Price",Calculations!A43,IF('Trial Pricing Calculator'!K9="Licensee Price",Calculations!A47,""))),4),0)</f>
        <v>0</v>
      </c>
      <c r="D18" s="13" t="s">
        <v>36</v>
      </c>
      <c r="E18" s="14" t="s">
        <v>16</v>
      </c>
      <c r="F18" s="14" t="s">
        <v>37</v>
      </c>
      <c r="G18" s="15" t="s">
        <v>12</v>
      </c>
      <c r="J18" s="4"/>
      <c r="K18" s="5"/>
      <c r="L18" s="5"/>
      <c r="M18" s="5"/>
      <c r="N18" s="6"/>
      <c r="V18" s="187">
        <v>1400</v>
      </c>
      <c r="W18" s="188">
        <v>49</v>
      </c>
      <c r="X18" s="296">
        <f>ROUND(1-(100/(W18+100)),6)</f>
        <v>0.32885900000000001</v>
      </c>
    </row>
    <row r="19" spans="1:24" x14ac:dyDescent="0.35">
      <c r="A19" s="150" t="s">
        <v>259</v>
      </c>
      <c r="B19" s="256" t="str">
        <f>IF(AND('Trial Pricing Calculator'!D9="PRIVATE DISTRIBUTION",'Trial Pricing Calculator'!E14="Beer",'Trial Pricing Calculator'!K9="Licensee Price"),D47,IF(AND('Trial Pricing Calculator'!D9="PRIVATE DISTRIBUTION",'Trial Pricing Calculator'!E14="Beer",'Trial Pricing Calculator'!K9="Retail Price"),D43,IF(AND('Trial Pricing Calculator'!D9="PRIVATE DISTRIBUTION",'Trial Pricing Calculator'!E14="Beer",'Trial Pricing Calculator'!K9="Gross Price to Brewer"),D39,IF(AND('Trial Pricing Calculator'!D9="MBLL DISTRIBUTION",'Trial Pricing Calculator'!E14="Beer",'Trial Pricing Calculator'!K9="Case Cost"),G28,IF(AND('Trial Pricing Calculator'!D9="MBLL DISTRIBUTION",'Trial Pricing Calculator'!E14="Beer",'Trial Pricing Calculator'!K9="Retail Price"),I32,"")))))</f>
        <v/>
      </c>
      <c r="D19" s="10">
        <f>IF(B12=0.05,Rates!Z20*Calculations!B9,IF(Calculations!B12=0.2,Rates!Z24*Calculations!B9,IF(Calculations!B12=0.375,Rates!Z25*Calculations!B9,IF(Calculations!B12=1.14,Rates!Z21*Calculations!B9,IF(Calculations!B12=1.75,Rates!Z24*Calculations!B9,0)))))</f>
        <v>0</v>
      </c>
      <c r="E19" s="19">
        <f>IF(B12&lt;0.75,0,IF(OR(B12=0.75,B12=1),Rates!Z21*Calculations!B9,IF(B12=1.5,Rates!Z27*Calculations!B9,IF(B12=2,Rates!Z28*Calculations!B9,IF(B12=3,Rates!Z29*Calculations!B9,IF(OR(B12=4,B12=5,B12=6),Rates!Z30*Calculations!B9,IF(OR(B12=7,B12=8,B12=9,B12=10),Rates!Z31*Calculations!B9,IF(B12=19.5,Rates!Z32*Calculations!B9,IF(B12=15,Rates!Z33*Calculations!B9,IF(B12=16,Rates!Z34*Calculations!B9,IF(B12=18,Rates!Z36*Calculations!B9,IF(B12=19,Rates!Z35*Calculations!B9,IF(B12=20,Rates!Z37*Calculations!B9,IF(B12=22,Rates!Z38*Calculations!B9,0))))))))))))))</f>
        <v>0</v>
      </c>
      <c r="F19" s="11">
        <f>IF(AND(B12&gt;0.049,B12&lt;0.401),SUM(Rates!Z12*B9),IF(AND(B12&gt;0.4,B12&lt;0.47),SUM(Rates!Z13*B9),IF(AND(B12&gt;0.469,B12&lt;0.66),SUM(Rates!Z14*B9),IF(AND(B12&gt;0.659,B12&lt;0.75),SUM(Rates!Z15*B9),IF(AND(B12&gt;0.749,B12&lt;0.9),SUM(Rates!Z16*B9),IF(AND(B12&gt;0.899,B12&lt;1),SUM(Rates!Z17*B9),IF(B12=1,SUM(Rates!Z18*B9),IF(B12=1.14,SUM(Rates!Z19*B9),IF(B12=1.75,SUM(Rates!Z21*B9),IF(B12=2,SUM(Rates!Z22*B9),IF(B12=3,SUM(Rates!AB23*B9),0)))))))))))</f>
        <v>0</v>
      </c>
      <c r="G19" s="18">
        <f>IF(AND(B9=24,B10="Bottle"),Rates!Z8*B9,IF(AND(B9=8,B10="Can"),Rates!Z11*B9,IF(AND(B9=15,B10="Can"),Rates!Z6*B9,IF(AND(B9=20,B10="Can"),Rates!Z7*B9,IF(AND(B9=30,B10="Can"),Rates!Z9*B9,IF(AND(B9=36,B10="Can"),Rates!Z10*B9,0))))))</f>
        <v>0</v>
      </c>
      <c r="J19" s="4"/>
      <c r="K19" s="5"/>
      <c r="L19" s="5"/>
      <c r="M19" s="5"/>
      <c r="N19" s="6"/>
      <c r="V19" s="277" t="s">
        <v>272</v>
      </c>
      <c r="W19" s="278"/>
      <c r="X19" s="279"/>
    </row>
    <row r="20" spans="1:24" ht="26.5" x14ac:dyDescent="0.35">
      <c r="J20" s="4"/>
      <c r="K20" s="5"/>
      <c r="L20" s="5"/>
      <c r="M20" s="5"/>
      <c r="N20" s="6"/>
      <c r="V20" s="182" t="s">
        <v>239</v>
      </c>
      <c r="W20" s="297" t="s">
        <v>273</v>
      </c>
      <c r="X20" s="298"/>
    </row>
    <row r="21" spans="1:24" x14ac:dyDescent="0.35">
      <c r="A21" s="157" t="s">
        <v>258</v>
      </c>
      <c r="B21" s="165">
        <f>IF(Calculations!B10="Keg",0,ROUND(IF(AND('Trial Pricing Calculator'!D9="PRIVATE DISTRIBUTION",'Trial Pricing Calculator'!E14="Beer"),0.0283*Calculations!B9),4))</f>
        <v>0</v>
      </c>
      <c r="J21" s="138" t="s">
        <v>115</v>
      </c>
      <c r="K21" s="139" t="s">
        <v>115</v>
      </c>
      <c r="L21" s="139" t="s">
        <v>115</v>
      </c>
      <c r="M21" s="140" t="s">
        <v>115</v>
      </c>
      <c r="N21" s="6"/>
      <c r="V21" s="183">
        <v>401</v>
      </c>
      <c r="W21" s="185">
        <f>W17+26</f>
        <v>36</v>
      </c>
      <c r="X21" s="295">
        <f>ROUND(1-(100/(W21+100)),6)</f>
        <v>0.264706</v>
      </c>
    </row>
    <row r="22" spans="1:24" x14ac:dyDescent="0.35">
      <c r="J22" s="28">
        <f>IF(B8&lt;60,SUM(B7*'Trial Pricing Calculator'!E24*SRP!E4),IF(AND(B8&gt;=60,B8&lt;100),SUM(B7*'Trial Pricing Calculator'!E24*SRP!E5),IF(AND(B8&gt;=100,B8&lt;300),SUM(B7*'Trial Pricing Calculator'!E24*SRP!E6),IF(AND(B8&gt;=300,B8&lt;400),SUM(B7*'Trial Pricing Calculator'!E24*SRP!E7),IF(AND(B8&gt;=400,B8&lt;=699),SUM(B7*'Trial Pricing Calculator'!E24*SRP!E8),IF(B8&gt;=700,SUM(B7*'Trial Pricing Calculator'!E24*SRP!E9),0))))))</f>
        <v>0</v>
      </c>
      <c r="K22" s="29">
        <f>IF(B8&lt;100,SUM(B7*'Trial Pricing Calculator'!E24*SRP!E23),IF(AND(B8&gt;=100,B8&lt;375),SUM(B7*'Trial Pricing Calculator'!E24*SRP!E24),IF(AND(B8&gt;=375,B8&lt;=699),SUM(B7*'Trial Pricing Calculator'!E24*SRP!E25),IF(AND(B8&gt;=700,B8&lt;=3999),SUM(B7*'Trial Pricing Calculator'!E24*SRP!E26),IF(B8&gt;=4000,SUM(B7*'Trial Pricing Calculator'!E24*SRP!E27),0)))))</f>
        <v>0</v>
      </c>
      <c r="L22" s="28">
        <f>IF(B8&lt;100,SUM(B7*'Trial Pricing Calculator'!E24*SRP!E13),IF(AND(B8&gt;=100,B8&lt;250),SUM(B7*'Trial Pricing Calculator'!E24*SRP!E14),IF(AND(B8&gt;=250,B8&lt;=399),SUM(B7*'Trial Pricing Calculator'!E24*SRP!E15),IF(AND(B8&gt;=400,B8&lt;=699),SUM(B7*'Trial Pricing Calculator'!E24*SRP!E16),IF(B8&gt;=700,SUM(B7*'Trial Pricing Calculator'!E24*SRP!E17),0)))))</f>
        <v>0</v>
      </c>
      <c r="M22" s="28">
        <f>IF(B8&lt;10000,SUM(B7*'Trial Pricing Calculator'!E24*SRP!E10),IF(AND(B8&gt;=10000,B8&lt;20000),SUM(B7*'Trial Pricing Calculator'!E24*SRP!E11),IF(B8&gt;=20000,SUM(B7*'Trial Pricing Calculator'!E24*SRP!E12),0)))</f>
        <v>0</v>
      </c>
      <c r="N22" s="6"/>
      <c r="V22" s="187">
        <v>400</v>
      </c>
      <c r="W22" s="188">
        <f>W18+26</f>
        <v>75</v>
      </c>
      <c r="X22" s="296">
        <f>ROUND(1-(100/(W22+100)),6)</f>
        <v>0.42857099999999998</v>
      </c>
    </row>
    <row r="23" spans="1:24" x14ac:dyDescent="0.35">
      <c r="J23" s="20"/>
      <c r="K23" s="139" t="s">
        <v>18</v>
      </c>
      <c r="L23" s="139" t="s">
        <v>159</v>
      </c>
      <c r="M23" s="5"/>
      <c r="N23" s="6"/>
      <c r="V23" s="181"/>
      <c r="W23" s="185"/>
      <c r="X23" s="186"/>
    </row>
    <row r="24" spans="1:24" x14ac:dyDescent="0.35">
      <c r="J24" s="4"/>
      <c r="K24" s="29">
        <f>IF(B8&lt;100,SUM(B7*'Trial Pricing Calculator'!E24*SRP!E28),IF(AND(B8&gt;=100,B8&lt;375),SUM(B7*'Trial Pricing Calculator'!E24*SRP!E29),IF(AND(B8&gt;=375,B8&lt;=699),SUM(B7*'Trial Pricing Calculator'!E24*SRP!E30),IF(B8&gt;=700,SUM(B7*'Trial Pricing Calculator'!E24*SRP!E31),0))))</f>
        <v>0</v>
      </c>
      <c r="L24" s="28">
        <f>IF(B8&lt;100,SUM(B7*'Trial Pricing Calculator'!E24*SRP!E18),IF(AND(B8&gt;=100,B8&lt;250),SUM(B7*'Trial Pricing Calculator'!E24*SRP!E19),IF(AND(B8&gt;=250,B8&lt;=399),SUM(B7*'Trial Pricing Calculator'!E24*SRP!E20),IF(AND(B8&gt;=400,B8&lt;=699),SUM(B7*'Trial Pricing Calculator'!E24*SRP!E21),IF(B8&gt;=700,SUM(B7*'Trial Pricing Calculator'!E24*SRP!E22),0)))))</f>
        <v>0</v>
      </c>
      <c r="M24" s="141" t="s">
        <v>123</v>
      </c>
      <c r="N24" s="6"/>
    </row>
    <row r="25" spans="1:24" x14ac:dyDescent="0.35">
      <c r="A25" s="175" t="s">
        <v>262</v>
      </c>
      <c r="B25" s="176"/>
      <c r="C25" s="176"/>
      <c r="D25" s="176"/>
      <c r="E25" s="176"/>
      <c r="F25" s="176"/>
      <c r="G25" s="174"/>
      <c r="J25" s="4"/>
      <c r="K25" s="5"/>
      <c r="L25" s="5"/>
      <c r="M25" s="142" t="s">
        <v>2</v>
      </c>
      <c r="N25" s="6"/>
    </row>
    <row r="26" spans="1:24" x14ac:dyDescent="0.35">
      <c r="A26" s="177" t="s">
        <v>248</v>
      </c>
      <c r="B26" s="178"/>
      <c r="C26" s="178"/>
      <c r="D26" s="178"/>
      <c r="E26" s="178"/>
      <c r="F26" s="178"/>
      <c r="G26" s="179"/>
      <c r="H26" s="97"/>
      <c r="I26" s="97"/>
      <c r="J26" s="4"/>
      <c r="K26" s="5"/>
      <c r="L26" s="5"/>
      <c r="M26" s="143">
        <v>1.1000000000000001</v>
      </c>
      <c r="N26" s="6"/>
    </row>
    <row r="27" spans="1:24" x14ac:dyDescent="0.35">
      <c r="A27" s="158" t="s">
        <v>263</v>
      </c>
      <c r="B27" s="158" t="s">
        <v>137</v>
      </c>
      <c r="C27" s="158" t="s">
        <v>265</v>
      </c>
      <c r="D27" s="198" t="s">
        <v>250</v>
      </c>
      <c r="E27" s="158" t="s">
        <v>288</v>
      </c>
      <c r="F27" s="158" t="s">
        <v>289</v>
      </c>
      <c r="G27" s="158" t="s">
        <v>249</v>
      </c>
      <c r="H27" s="201" t="s">
        <v>290</v>
      </c>
      <c r="J27" s="4"/>
      <c r="K27" s="5"/>
      <c r="L27" s="5"/>
      <c r="M27" s="144" t="s">
        <v>3</v>
      </c>
      <c r="N27" s="6"/>
    </row>
    <row r="28" spans="1:24" x14ac:dyDescent="0.35">
      <c r="A28" s="168" t="str">
        <f>IFERROR(IF('Trial Pricing Calculator'!D9="","",IF('Trial Pricing Calculator'!K9="Case Cost",ROUND(B3/B6*B4,4),"")),0)</f>
        <v/>
      </c>
      <c r="B28" s="149" t="str">
        <f>IF('Trial Pricing Calculator'!D9="","",IF('Trial Pricing Calculator'!K9="Case Cost",ROUND(Calculations!B13,4),""))</f>
        <v/>
      </c>
      <c r="C28" s="149" t="str">
        <f>IF('Trial Pricing Calculator'!E14="Spirit",Calculations!D10,IF('Trial Pricing Calculator'!E14="Wine",Calculations!E10,IF('Trial Pricing Calculator'!E14="Ready_to_Drink",Calculations!F10,IF('Trial Pricing Calculator'!E14="Beer",Calculations!G10,""))))</f>
        <v/>
      </c>
      <c r="D28" s="199" t="str">
        <f>IF('Trial Pricing Calculator'!K9="Case Cost",ROUND(SUM(B13+'Trial Pricing Calculator'!L20+'Trial Pricing Calculator'!L21+'Trial Pricing Calculator'!L22+'Trial Pricing Calculator'!L23),2),"")</f>
        <v/>
      </c>
      <c r="E28" s="191" t="str">
        <f>IFERROR(IF(AND('Trial Pricing Calculator'!D9="MBLL DISTRIBUTION",'Trial Pricing Calculator'!E14="Beer",'Trial Pricing Calculator'!E16="Yes"),ROUND(SUM(B28*0.1),4),ROUND(SUM(B28*0.49),4)),"")</f>
        <v/>
      </c>
      <c r="F28" s="191">
        <f>MAX(E28,H28)</f>
        <v>0</v>
      </c>
      <c r="G28" s="164" t="b">
        <f>IFERROR(IF(AND('Trial Pricing Calculator'!E14="Beer",'Trial Pricing Calculator'!K9="Case Cost"),ROUND(SUM(B28+F28+'Trial Pricing Calculator'!L21+'Trial Pricing Calculator'!L22+'Trial Pricing Calculator'!L23),2)),"")</f>
        <v>0</v>
      </c>
      <c r="H28" s="148">
        <f>IF(AND('Trial Pricing Calculator'!D9="MBLL DISTRIBUTION",'Trial Pricing Calculator'!E14="Beer",'Trial Pricing Calculator'!E16="No"),N13,0)</f>
        <v>0</v>
      </c>
      <c r="J28" s="4"/>
      <c r="K28" s="5"/>
      <c r="L28" s="5"/>
      <c r="M28" s="145">
        <v>1.68</v>
      </c>
      <c r="N28" s="6">
        <v>0.105145</v>
      </c>
    </row>
    <row r="29" spans="1:24" x14ac:dyDescent="0.35">
      <c r="J29" s="8"/>
      <c r="K29" s="31"/>
      <c r="L29" s="31"/>
      <c r="M29" s="31"/>
      <c r="N29" s="12"/>
    </row>
    <row r="30" spans="1:24" x14ac:dyDescent="0.35">
      <c r="A30" s="153" t="s">
        <v>253</v>
      </c>
      <c r="B30" s="154"/>
      <c r="C30" s="154"/>
      <c r="D30" s="154"/>
      <c r="E30" s="154"/>
      <c r="F30" s="172"/>
      <c r="G30" s="172"/>
      <c r="H30" s="172"/>
      <c r="I30" s="173"/>
      <c r="J30" s="5"/>
      <c r="K30" s="5"/>
      <c r="L30" s="5"/>
      <c r="M30" s="5"/>
      <c r="N30" s="5"/>
    </row>
    <row r="31" spans="1:24" x14ac:dyDescent="0.35">
      <c r="A31" s="158" t="s">
        <v>263</v>
      </c>
      <c r="B31" s="158" t="s">
        <v>264</v>
      </c>
      <c r="C31" s="158" t="s">
        <v>137</v>
      </c>
      <c r="D31" s="158" t="s">
        <v>274</v>
      </c>
      <c r="E31" s="158" t="s">
        <v>265</v>
      </c>
      <c r="F31" s="158" t="s">
        <v>266</v>
      </c>
      <c r="G31" s="198" t="s">
        <v>250</v>
      </c>
      <c r="H31" s="158" t="s">
        <v>267</v>
      </c>
      <c r="I31" s="158" t="s">
        <v>249</v>
      </c>
      <c r="K31" s="5"/>
      <c r="L31" s="5"/>
      <c r="M31" s="5"/>
      <c r="N31" s="5"/>
    </row>
    <row r="32" spans="1:24" x14ac:dyDescent="0.35">
      <c r="A32" s="168" t="str">
        <f>IFERROR(IF('Trial Pricing Calculator'!D9="","",IF(AND('Trial Pricing Calculator'!L18="",'Trial Pricing Calculator'!D9="MBLL DISTRIBUTION",'Trial Pricing Calculator'!K9="Retail Price"),ROUND(SUM(C32-'Trial Pricing Calculator'!L15-'Trial Pricing Calculator'!L16-'Trial Pricing Calculator'!L17),4),ROUND(SUM(C32-'Trial Pricing Calculator'!L15-'Trial Pricing Calculator'!L16-'Trial Pricing Calculator'!L17-'Trial Pricing Calculator'!L18),4))),0)</f>
        <v/>
      </c>
      <c r="B32" s="192" t="str">
        <f>IF('Trial Pricing Calculator'!D9="","",IF(AND('Trial Pricing Calculator'!D9="MBLL DISTRIBUTION",'Trial Pricing Calculator'!K9="Retail Price"),ROUND(SUM(A32/B4),4),""))</f>
        <v/>
      </c>
      <c r="C32" s="148" t="str">
        <f>IF('Trial Pricing Calculator'!D9="","",IF('Trial Pricing Calculator'!K9="Retail Price",ROUND(F32-E32,4),""))</f>
        <v/>
      </c>
      <c r="D32" s="149" t="str">
        <f>IF('Trial Pricing Calculator'!D9="","",IF(AND('Trial Pricing Calculator'!K9="Retail Price",'Trial Pricing Calculator'!E16="Yes",'Trial Pricing Calculator'!E14="Spirit"),ROUND($X$4*Calculations!F32,4),IF(AND('Trial Pricing Calculator'!K9="Retail Price",'Trial Pricing Calculator'!E16="No",'Trial Pricing Calculator'!E14="Spirit"),ROUND($X$5*Calculations!F32,4),IF(AND('Trial Pricing Calculator'!K9="Retail Price",'Trial Pricing Calculator'!E16="Yes",'Trial Pricing Calculator'!E14="Wine"),ROUND($X$8*Calculations!F32,4),IF(AND('Trial Pricing Calculator'!K9="Retail Price",'Trial Pricing Calculator'!E16="No",'Trial Pricing Calculator'!E14="Wine"),ROUND($X$9*Calculations!F32,4),IF(AND('Trial Pricing Calculator'!K9="Retail Price",'Trial Pricing Calculator'!E16="Yes",'Trial Pricing Calculator'!E14="Ready_to_Drink",'Trial Pricing Calculator'!E15="RTD - NGS/Bulk Spirits"),ROUND(Calculations!$X$13*Calculations!F32,4),IF(AND('Trial Pricing Calculator'!K9="Retail Price",'Trial Pricing Calculator'!E16="Yes",'Trial Pricing Calculator'!E14="Ready_to_Drink"),ROUND(Calculations!$X$12*Calculations!F32,4),IF(AND('Trial Pricing Calculator'!K9="Retail Price",'Trial Pricing Calculator'!E16="No",'Trial Pricing Calculator'!E14="Ready_to_Drink"),ROUND(Calculations!X14*Calculations!F32,4),IF(AND('Trial Pricing Calculator'!K9="Retail Price",'Trial Pricing Calculator'!E16="Yes",'Trial Pricing Calculator'!E14="Beer"),ROUND(Calculations!$X$21*Calculations!F32,4),IF(AND('Trial Pricing Calculator'!K9="Retail Price",'Trial Pricing Calculator'!E16="No",'Trial Pricing Calculator'!E14="Beer"),ROUND(Calculations!$X$22*Calculations!F32,6),""))))))))))</f>
        <v/>
      </c>
      <c r="E32" s="149" t="str">
        <f>IF('Trial Pricing Calculator'!D9="","",IF(AND('Trial Pricing Calculator'!D9="MBLL DISTRIBUTION",'Trial Pricing Calculator'!K9="Retail Price"),MAX(Calculations!D32,Calculations!D34),""))</f>
        <v/>
      </c>
      <c r="F32" s="191" t="str">
        <f>IF('Trial Pricing Calculator'!D9="","",IF(AND('Trial Pricing Calculator'!D9="MBLL DISTRIBUTION",'Trial Pricing Calculator'!K9="Retail Price"),ROUND(SUM(G32-SUM('Trial Pricing Calculator'!L21:L25)),4),""))</f>
        <v/>
      </c>
      <c r="G32" s="200" t="str">
        <f>IF('Trial Pricing Calculator'!D9="","",IF(AND('Trial Pricing Calculator'!D9="MBLL DISTRIBUTION",'Trial Pricing Calculator'!K9="Retail Price"),Calculations!B17,""))</f>
        <v/>
      </c>
      <c r="H32" s="149">
        <f>IFERROR(IF(AND('Trial Pricing Calculator'!D9="MBLL DISTRIBUTION",'Trial Pricing Calculator'!E14="Beer",'Trial Pricing Calculator'!E16="No"),ROUND(SUM(Calculations!C32*49%),4),ROUND(SUM(C32*10%),4)),0)</f>
        <v>0</v>
      </c>
      <c r="I32" s="193" t="str">
        <f>IF(AND('Trial Pricing Calculator'!E14="Beer",'Trial Pricing Calculator'!D9="MBLL DISTRIBUTION",OR('Trial Pricing Calculator'!E18="No",'Trial Pricing Calculator'!E18="")),ROUND(SUM(Calculations!C32+I34+'Trial Pricing Calculator'!L21+'Trial Pricing Calculator'!L22+'Trial Pricing Calculator'!L23),2),IF(AND('Trial Pricing Calculator'!E14="Beer",'Trial Pricing Calculator'!D9="MBLL DISTRIBUTION",'Trial Pricing Calculator'!E18="Yes"),ROUND(SUM(Calculations!C32+I34+'Trial Pricing Calculator'!L21+'Trial Pricing Calculator'!L22+'Trial Pricing Calculator'!L23+'Trial Pricing Calculator'!L25),2),""))</f>
        <v/>
      </c>
      <c r="J32" s="48"/>
      <c r="K32" s="5"/>
      <c r="L32" s="5"/>
      <c r="M32" s="5"/>
      <c r="N32" s="5"/>
    </row>
    <row r="33" spans="1:14" x14ac:dyDescent="0.35">
      <c r="D33" s="158" t="s">
        <v>0</v>
      </c>
      <c r="H33" s="158" t="s">
        <v>306</v>
      </c>
      <c r="I33" t="s">
        <v>307</v>
      </c>
      <c r="J33" s="5"/>
      <c r="K33" s="197"/>
      <c r="L33" s="5"/>
      <c r="M33" s="5"/>
      <c r="N33" s="5"/>
    </row>
    <row r="34" spans="1:14" x14ac:dyDescent="0.35">
      <c r="A34" s="1"/>
      <c r="D34" s="149" t="str">
        <f>IF('Trial Pricing Calculator'!E14="Spirit",J13,IF('Trial Pricing Calculator'!E14="Wine",K13,IF(AND('Trial Pricing Calculator'!E14="Ready_to_Drink",B9=1),L13,IF(AND('Trial Pricing Calculator'!E14="Ready_to_Drink",Calculations!B9&gt;=1),Calculations!L18,IF(AND('Trial Pricing Calculator'!E14="Beer",Calculations!B9=1,Calculations!B10="Can"),Calculations!M18,IF(AND('Trial Pricing Calculator'!E14="Beer",Calculations!B9=1,Calculations!B10="Bottle"),Calculations!M13,IF(AND('Trial Pricing Calculator'!E14="Beer",Calculations!B9&gt;1,Calculations!B10="Can"),Calculations!N18,IF(AND('Trial Pricing Calculator'!E14="Beer",Calculations!B9&gt;1,Calculations!B10="Bottle"),Calculations!N13,""))))))))</f>
        <v/>
      </c>
      <c r="H34" s="149">
        <f>IF(AND('Trial Pricing Calculator'!D9="MBLL DISTRIBUTION",'Trial Pricing Calculator'!E14="Beer",'Trial Pricing Calculator'!E16="No"),ROUND(SUM(Calculations!B7*Q5),4),0)</f>
        <v>0</v>
      </c>
      <c r="I34" s="149">
        <f>IF((H32&lt;H34),H34,H32)</f>
        <v>0</v>
      </c>
      <c r="J34" s="197"/>
      <c r="K34" s="5"/>
      <c r="L34" s="5"/>
      <c r="M34" s="5"/>
      <c r="N34" s="5"/>
    </row>
    <row r="35" spans="1:14" x14ac:dyDescent="0.35">
      <c r="H35" s="48"/>
      <c r="J35" s="5"/>
      <c r="K35" s="5"/>
      <c r="L35" s="5"/>
      <c r="M35" s="5"/>
      <c r="N35" s="5"/>
    </row>
    <row r="36" spans="1:14" x14ac:dyDescent="0.35">
      <c r="A36" s="147" t="s">
        <v>247</v>
      </c>
      <c r="J36" s="9"/>
      <c r="K36" s="9"/>
      <c r="L36" s="9"/>
      <c r="M36" s="9"/>
      <c r="N36" s="9"/>
    </row>
    <row r="37" spans="1:14" x14ac:dyDescent="0.35">
      <c r="A37" s="153" t="s">
        <v>248</v>
      </c>
      <c r="B37" s="154"/>
      <c r="C37" s="154"/>
      <c r="D37" s="154"/>
      <c r="E37" s="154"/>
      <c r="F37" s="155"/>
      <c r="G37" s="156"/>
      <c r="J37" s="9"/>
      <c r="K37" s="9" t="str" cm="1">
        <f t="array" ref="K37">IF(E14="","",IF(E14="Spirit",Spirit,IF(E14="Wine",Wine,IF(AND(D9="MBLL DISTRIBUTION",E14="Ready_to_Drink"),Ready_to_Drink,IF(AND(D9="PRIVATE DISTRIBUTION",E14="Ready_to_Drink"),Ready_to_Drink_Private,IF(E14="Beer",Beer,""))))))</f>
        <v/>
      </c>
      <c r="L37" s="9"/>
      <c r="M37" s="9"/>
      <c r="N37" s="9"/>
    </row>
    <row r="38" spans="1:14" x14ac:dyDescent="0.35">
      <c r="A38" s="158" t="s">
        <v>246</v>
      </c>
      <c r="B38" s="158" t="s">
        <v>76</v>
      </c>
      <c r="C38" s="158" t="s">
        <v>25</v>
      </c>
      <c r="D38" s="158" t="s">
        <v>249</v>
      </c>
      <c r="E38" s="158" t="s">
        <v>76</v>
      </c>
      <c r="F38" s="198" t="s">
        <v>250</v>
      </c>
      <c r="G38" s="201" t="s">
        <v>275</v>
      </c>
      <c r="J38" s="9"/>
      <c r="K38" s="9"/>
      <c r="L38" s="9"/>
      <c r="M38" s="9"/>
      <c r="N38" s="9"/>
    </row>
    <row r="39" spans="1:14" x14ac:dyDescent="0.35">
      <c r="A39" s="168">
        <f>IF(OR('Trial Pricing Calculator'!K9="Licensee Price",'Trial Pricing Calculator'!K9="Retail Price"),"",IF(AND('Trial Pricing Calculator'!K9="Gross Price to Brewer",'Trial Pricing Calculator'!E18="Yes"),SUM('Trial Pricing Calculator'!L9-'Trial Pricing Calculator'!E32),'Trial Pricing Calculator'!L9))</f>
        <v>0</v>
      </c>
      <c r="B39" s="149" t="str">
        <f>IF(A39="","",IF(AND('Trial Pricing Calculator'!E14="Beer",'Trial Pricing Calculator'!E16="Yes"),ROUND(SUM(Calculations!$A$39*0.1),4),IF(AND('Trial Pricing Calculator'!E14="Beer",'Trial Pricing Calculator'!E16="No"),ROUND(SUM(Calculations!$A$39*0.49),4),IF(AND(OR('Trial Pricing Calculator'!E15="Cider",'Trial Pricing Calculator'!E15="Spirit Cooler",'Trial Pricing Calculator'!E15="Wine Cooler",'Trial Pricing Calculator'!E15="Malt Based Cooler"),'Trial Pricing Calculator'!E16="Yes"),ROUND(SUM(Calculations!A39*0.4),4),IF(AND('Trial Pricing Calculator'!E16="Yes",'Trial Pricing Calculator'!E15="RTD - NGS/Bulk Spirits"),ROUND(SUM(Calculations!A39*0.7),4),IF(AND('Trial Pricing Calculator'!E14="Ready_to_Drink",'Trial Pricing Calculator'!E16="No"),ROUND(SUM(Calculations!A39*0.95),4),""))))))</f>
        <v/>
      </c>
      <c r="C39" s="149" t="b">
        <f>IF(A39="","",IF(AND('Trial Pricing Calculator'!D9="PRIVATE DISTRIBUTION",'Trial Pricing Calculator'!E14="Beer"),MAX(Calculations!B39,N13),IF('Trial Pricing Calculator'!E14="Ready_to_Drink",MAX(B39,L13))))</f>
        <v>0</v>
      </c>
      <c r="D39" s="166" t="str">
        <f>IF(A39="","",IF(AND('Trial Pricing Calculator'!D9="PRIVATE DISTRIBUTION",'Trial Pricing Calculator'!E14="Ready_to_Drink"),ROUND(Calculations!F39-G39,4),IF(AND('Trial Pricing Calculator'!D9="PRIVATE DISTRIBUTION",'Trial Pricing Calculator'!E14="Beer"),ROUND(SUM(A39+C39+G13+G19+B21),4),"")))</f>
        <v/>
      </c>
      <c r="E39" s="148" t="str">
        <f>IF(A39="","",IF(AND('Trial Pricing Calculator'!D9="PRIVATE DISTRIBUTION",'Trial Pricing Calculator'!E14="Ready_to_Drink"),ROUND(Calculations!F39*(11.75/100),4),IF(AND('Trial Pricing Calculator'!D9="PRIVATE DISTRIBUTION",'Trial Pricing Calculator'!E14="Beer"),ROUND(D39*(17/100),4),"")))</f>
        <v/>
      </c>
      <c r="F39" s="199" t="e">
        <f>IF(A39="","",IF('Trial Pricing Calculator'!E14="Ready_to_Drink",SUM(A39+C39+'Trial Pricing Calculator'!L21+'Trial Pricing Calculator'!L22),SUM(D39+E39)))</f>
        <v>#VALUE!</v>
      </c>
      <c r="G39" s="148" t="b">
        <f>IF(A39="","",IF('Trial Pricing Calculator'!E14="Ready_to_Drink",MAX(Calculations!E39,Calculations!L13)))</f>
        <v>0</v>
      </c>
      <c r="J39" s="9"/>
      <c r="K39" s="9"/>
      <c r="L39" s="9"/>
      <c r="M39" s="9"/>
      <c r="N39" s="9"/>
    </row>
    <row r="40" spans="1:14" x14ac:dyDescent="0.35">
      <c r="J40" s="9"/>
      <c r="K40" s="9"/>
      <c r="L40" s="9"/>
      <c r="M40" s="9"/>
      <c r="N40" s="9"/>
    </row>
    <row r="41" spans="1:14" x14ac:dyDescent="0.35">
      <c r="A41" s="153" t="s">
        <v>253</v>
      </c>
      <c r="B41" s="154"/>
      <c r="C41" s="154"/>
      <c r="D41" s="154"/>
      <c r="E41" s="154"/>
      <c r="F41" s="154"/>
      <c r="G41" s="155"/>
      <c r="J41" s="9"/>
      <c r="K41" s="9"/>
      <c r="L41" s="9"/>
      <c r="M41" s="9"/>
      <c r="N41" s="9"/>
    </row>
    <row r="42" spans="1:14" x14ac:dyDescent="0.35">
      <c r="A42" s="158" t="s">
        <v>246</v>
      </c>
      <c r="B42" s="158" t="s">
        <v>76</v>
      </c>
      <c r="C42" s="158" t="s">
        <v>25</v>
      </c>
      <c r="D42" s="158" t="s">
        <v>249</v>
      </c>
      <c r="E42" s="158" t="s">
        <v>76</v>
      </c>
      <c r="F42" s="198" t="s">
        <v>250</v>
      </c>
      <c r="G42" s="158" t="s">
        <v>261</v>
      </c>
      <c r="H42" s="201" t="s">
        <v>275</v>
      </c>
      <c r="J42" s="9"/>
      <c r="K42" s="9"/>
      <c r="L42" s="9"/>
      <c r="M42" s="9"/>
      <c r="N42" s="9"/>
    </row>
    <row r="43" spans="1:14" x14ac:dyDescent="0.35">
      <c r="A43" s="168" t="str">
        <f>IF(F43="","",IF('Trial Pricing Calculator'!E14="Ready_to_Drink",ROUND(SUM(F43-H43-Calculations!F13-Calculations!F19),4),ROUND(SUM(F43-E43-Calculations!G13-Calculations!G19-Calculations!B21-Calculations!C43),4)))</f>
        <v/>
      </c>
      <c r="B43" s="148" t="str">
        <f>IF(F43="","",IF(AND('Trial Pricing Calculator'!E14="Beer",'Trial Pricing Calculator'!E16="Yes"),ROUND(SUM(Calculations!G43*R13),4),IF(AND('Trial Pricing Calculator'!E14="Beer",'Trial Pricing Calculator'!E16="No"),ROUND(SUM(Calculations!G43*R14),4),IF(AND('Trial Pricing Calculator'!D9="PRIVATE DISTRIBUTION",'Trial Pricing Calculator'!E14="Ready_to_Drink"),ROUND(Calculations!F43*Calculations!N28,4),""))))</f>
        <v/>
      </c>
      <c r="C43" s="148" t="str">
        <f>IF(F43="","",IF(AND('Trial Pricing Calculator'!D9="PRIVATE DISTRIBUTION",'Trial Pricing Calculator'!E14="Beer"),MAX(B43,N13),ROUND(F43*(11.75/100),4)))</f>
        <v/>
      </c>
      <c r="D43" s="166" t="str">
        <f>IF(F43="","",IF(AND('Trial Pricing Calculator'!D9="PRIVATE DISTRIBUTION",'Trial Pricing Calculator'!E14="Ready_to_Drink"),ROUND(Calculations!F43-Calculations!C43,4),ROUND(SUM(F43-E43),4)))</f>
        <v/>
      </c>
      <c r="E43" s="149" t="str">
        <f>IF(F43="","",IF(AND(OR('Trial Pricing Calculator'!E15="Cider",'Trial Pricing Calculator'!E15="Spirit Cooler",'Trial Pricing Calculator'!E15="Wine Cooler",'Trial Pricing Calculator'!E15="Malt Based Cooler"),'Trial Pricing Calculator'!D9="PRIVATE DISTRIBUTION",'Trial Pricing Calculator'!E14="Ready_to_Drink",'Trial Pricing Calculator'!E16="Yes"),ROUND(SUM(X12*(Calculations!F43-'Trial Pricing Calculator'!L21-'Trial Pricing Calculator'!L22)),4),IF(AND('Trial Pricing Calculator'!D9="PRIVATE DISTRIBUTION",'Trial Pricing Calculator'!E14="Ready_to_Drink",'Trial Pricing Calculator'!E16="No"),ROUND(SUM(Calculations!F43-'Trial Pricing Calculator'!L21-'Trial Pricing Calculator'!L22)*Calculations!X14,4),IF(AND('Trial Pricing Calculator'!D9="PRIVATE DISTRIBUTION",'Trial Pricing Calculator'!E15="RTD - NGS/Bulk Spirits",'Trial Pricing Calculator'!E16="Yes"),ROUND(SUM(Calculations!F43-'Trial Pricing Calculator'!L21-'Trial Pricing Calculator'!L22)*X13,4),IF(AND('Trial Pricing Calculator'!D9="PRIVATE DISTRIBUTION",'Trial Pricing Calculator'!E14="Beer"),ROUND(SUM(Calculations!F43*T14),4),"")))))</f>
        <v/>
      </c>
      <c r="F43" s="199" t="str">
        <f>IF(AND('Trial Pricing Calculator'!D9="PRIVATE DISTRIBUTION",'Trial Pricing Calculator'!K9="Retail Price"),SUM('Trial Pricing Calculator'!L9+0.004),"")</f>
        <v/>
      </c>
      <c r="G43" s="148" t="str">
        <f>IF(F43="","",IF(AND('Trial Pricing Calculator'!D9="PRIVATE DISTRIBUTION",'Trial Pricing Calculator'!E14="Beer"),ROUND(SUM(F43-E43-'Trial Pricing Calculator'!L21-'Trial Pricing Calculator'!L22-Calculations!B21),4),ROUND(SUM(F43-H43-'Trial Pricing Calculator'!L21-'Trial Pricing Calculator'!L22),4)))</f>
        <v/>
      </c>
      <c r="H43" s="148" t="str">
        <f>IF(AND('Trial Pricing Calculator'!D9="PRIVATE DISTRIBUTION",'Trial Pricing Calculator'!E14="Ready_to_Drink"),MAX(Calculations!E43,Calculations!L13),"")</f>
        <v/>
      </c>
      <c r="J43" s="9"/>
      <c r="K43" s="9"/>
      <c r="L43" s="9"/>
      <c r="M43" s="9"/>
      <c r="N43" s="9"/>
    </row>
    <row r="44" spans="1:14" x14ac:dyDescent="0.35">
      <c r="A44" s="61"/>
      <c r="J44" s="9"/>
      <c r="K44" s="9"/>
      <c r="L44" s="9"/>
      <c r="M44" s="9"/>
      <c r="N44" s="9"/>
    </row>
    <row r="45" spans="1:14" x14ac:dyDescent="0.35">
      <c r="A45" s="153" t="s">
        <v>254</v>
      </c>
      <c r="B45" s="154"/>
      <c r="C45" s="154"/>
      <c r="D45" s="154"/>
      <c r="E45" s="154"/>
      <c r="F45" s="154"/>
      <c r="G45" s="155"/>
      <c r="J45" s="9"/>
      <c r="K45" s="9"/>
      <c r="L45" s="9"/>
      <c r="M45" s="9"/>
      <c r="N45" s="9"/>
    </row>
    <row r="46" spans="1:14" x14ac:dyDescent="0.35">
      <c r="A46" s="158" t="s">
        <v>246</v>
      </c>
      <c r="B46" s="158" t="s">
        <v>76</v>
      </c>
      <c r="C46" s="158" t="s">
        <v>25</v>
      </c>
      <c r="D46" s="158" t="s">
        <v>249</v>
      </c>
      <c r="E46" s="158" t="s">
        <v>76</v>
      </c>
      <c r="F46" s="198" t="s">
        <v>250</v>
      </c>
      <c r="G46" s="158" t="s">
        <v>261</v>
      </c>
      <c r="H46" s="201" t="s">
        <v>275</v>
      </c>
      <c r="J46" s="9"/>
      <c r="K46" s="9"/>
      <c r="L46" s="9"/>
      <c r="M46" s="9"/>
      <c r="N46" s="9"/>
    </row>
    <row r="47" spans="1:14" x14ac:dyDescent="0.35">
      <c r="A47" s="169" t="str">
        <f>IF(D47="","",ROUND(SUM(D47-C47-G13-G19-B21),4))</f>
        <v/>
      </c>
      <c r="B47" s="148" t="str">
        <f>IF(D47="","",IF(AND('Trial Pricing Calculator'!E14="Beer",'Trial Pricing Calculator'!E16="Yes"),ROUND(SUM(Calculations!G47*$R$13),4),IF(AND('Trial Pricing Calculator'!E14="Beer",'Trial Pricing Calculator'!E16="No"),ROUND(SUM(Calculations!G47*$R$14),4),IF(AND('Trial Pricing Calculator'!D9="PRIVATE DISTRIBUTION",'Trial Pricing Calculator'!E15="RTD - NGS/Bulk Spirits",'Trial Pricing Calculator'!E16="Yes"),ROUND(SUM(Calculations!F47-F13-F19)*Calculations!$X$13,4),IF(AND(OR('Trial Pricing Calculator'!E15="Malt Based Cooler",'Trial Pricing Calculator'!E15="Spirit Cooler",'Trial Pricing Calculator'!E15="Wine Cooler",'Trial Pricing Calculator'!E15="Cider"),'Trial Pricing Calculator'!E16="No"),ROUND(SUM(Calculations!F47-F13-F19)*Calculations!$X$14,4),"")))))</f>
        <v/>
      </c>
      <c r="C47" s="148" t="str">
        <f>IF(D47="","",ROUND(IF(AND('Trial Pricing Calculator'!D9="PRIVATE DISTRIBUTION",'Trial Pricing Calculator'!E14="Beer"),MAX(B47,N13)),4))</f>
        <v/>
      </c>
      <c r="D47" s="167" t="str">
        <f>IF('Trial Pricing Calculator'!K9="Licensee Price",'Trial Pricing Calculator'!L9,"")</f>
        <v/>
      </c>
      <c r="E47" s="148" t="str">
        <f>IF(D47="","",IF('Trial Pricing Calculator'!E14="Ready_to_Drink",Calculations!N28*Calculations!D47,ROUND(SUM(D47*(17/100)),4)))</f>
        <v/>
      </c>
      <c r="F47" s="199" t="str">
        <f>IF(D47="","",ROUND(SUM(D47+E47-0.0004),2))</f>
        <v/>
      </c>
      <c r="G47" s="149" t="str">
        <f>IF(D47="","",IF('Trial Pricing Calculator'!E14="Ready_to_Drink",SUM(Calculations!F47-Calculations!C47-Calculations!F13-Calculations!F19),ROUND(SUM(F47-E47-B21-G19-G13),4)))</f>
        <v/>
      </c>
      <c r="H47" s="148" t="str">
        <f>IF(AND('Trial Pricing Calculator'!D9="PRIVATE DISTRIBUTION",'Trial Pricing Calculator'!E14="Ready_to_Drink"),MAX(Calculations!E47,Calculations!L13),"")</f>
        <v/>
      </c>
      <c r="J47" s="9"/>
      <c r="K47" s="9"/>
      <c r="L47" s="9"/>
      <c r="M47" s="9"/>
      <c r="N47" s="9"/>
    </row>
    <row r="48" spans="1:14" x14ac:dyDescent="0.35">
      <c r="J48" s="9"/>
      <c r="K48" s="9"/>
      <c r="L48" s="9"/>
      <c r="M48" s="9"/>
      <c r="N48" s="9"/>
    </row>
    <row r="49" spans="1:14" x14ac:dyDescent="0.35">
      <c r="J49" s="9"/>
      <c r="K49" s="9"/>
      <c r="L49" s="9"/>
      <c r="M49" s="9"/>
      <c r="N49" s="9"/>
    </row>
    <row r="50" spans="1:14" x14ac:dyDescent="0.35">
      <c r="J50" s="9"/>
      <c r="K50" s="9"/>
      <c r="L50" s="9"/>
      <c r="M50" s="9"/>
      <c r="N50" s="9"/>
    </row>
    <row r="51" spans="1:14" x14ac:dyDescent="0.35">
      <c r="J51" s="9"/>
      <c r="K51" s="9"/>
      <c r="L51" s="9"/>
      <c r="M51" s="9"/>
      <c r="N51" s="9"/>
    </row>
    <row r="52" spans="1:14" x14ac:dyDescent="0.35">
      <c r="J52" s="9"/>
      <c r="K52" s="9"/>
      <c r="L52" s="9"/>
      <c r="M52" s="9"/>
      <c r="N52" s="9"/>
    </row>
    <row r="53" spans="1:14" x14ac:dyDescent="0.35">
      <c r="J53" s="9"/>
      <c r="K53" s="9"/>
      <c r="L53" s="9"/>
      <c r="M53" s="9"/>
      <c r="N53" s="9"/>
    </row>
    <row r="54" spans="1:14" x14ac:dyDescent="0.35">
      <c r="A54" s="328" t="s">
        <v>283</v>
      </c>
      <c r="B54" s="328"/>
      <c r="C54" s="328"/>
      <c r="D54" s="328"/>
      <c r="J54" s="9"/>
      <c r="K54" s="9"/>
      <c r="L54" s="9"/>
      <c r="M54" s="9"/>
      <c r="N54" s="9"/>
    </row>
    <row r="55" spans="1:14" x14ac:dyDescent="0.35">
      <c r="A55" t="s">
        <v>277</v>
      </c>
      <c r="B55" t="str">
        <f>'Trial Pricing Calculator'!L14</f>
        <v/>
      </c>
      <c r="J55" s="9"/>
      <c r="K55" s="9"/>
      <c r="L55" s="9"/>
      <c r="M55" s="9"/>
      <c r="N55" s="9"/>
    </row>
    <row r="56" spans="1:14" x14ac:dyDescent="0.35">
      <c r="A56" t="s">
        <v>278</v>
      </c>
      <c r="B56" t="str">
        <f>'Trial Pricing Calculator'!L15</f>
        <v/>
      </c>
      <c r="J56" s="9"/>
      <c r="K56" s="9"/>
      <c r="L56" s="9"/>
      <c r="M56" s="9"/>
      <c r="N56" s="9"/>
    </row>
    <row r="57" spans="1:14" x14ac:dyDescent="0.35">
      <c r="A57" t="s">
        <v>279</v>
      </c>
      <c r="B57" t="str">
        <f>'Trial Pricing Calculator'!L16</f>
        <v/>
      </c>
      <c r="J57" s="9"/>
      <c r="K57" s="9"/>
      <c r="L57" s="9"/>
      <c r="M57" s="9"/>
      <c r="N57" s="9"/>
    </row>
    <row r="58" spans="1:14" x14ac:dyDescent="0.35">
      <c r="A58" t="s">
        <v>280</v>
      </c>
      <c r="B58" t="str">
        <f>'Trial Pricing Calculator'!L17</f>
        <v/>
      </c>
      <c r="J58" s="9"/>
      <c r="K58" s="9"/>
      <c r="L58" s="9"/>
      <c r="M58" s="9"/>
      <c r="N58" s="9"/>
    </row>
    <row r="59" spans="1:14" x14ac:dyDescent="0.35">
      <c r="J59" s="9"/>
      <c r="K59" s="9"/>
      <c r="L59" s="9"/>
      <c r="M59" s="9"/>
      <c r="N59" s="9"/>
    </row>
    <row r="60" spans="1:14" x14ac:dyDescent="0.35">
      <c r="A60" t="s">
        <v>25</v>
      </c>
      <c r="B60" t="str">
        <f>'Trial Pricing Calculator'!L20</f>
        <v/>
      </c>
      <c r="J60" s="9"/>
      <c r="K60" s="9"/>
      <c r="L60" s="9"/>
      <c r="M60" s="9"/>
      <c r="N60" s="9"/>
    </row>
    <row r="61" spans="1:14" x14ac:dyDescent="0.35">
      <c r="A61" t="s">
        <v>281</v>
      </c>
      <c r="B61" t="str">
        <f>'Trial Pricing Calculator'!L21</f>
        <v/>
      </c>
      <c r="J61" s="9"/>
      <c r="K61" s="9"/>
      <c r="L61" s="9"/>
      <c r="M61" s="9"/>
      <c r="N61" s="9"/>
    </row>
    <row r="62" spans="1:14" x14ac:dyDescent="0.35">
      <c r="A62" t="s">
        <v>282</v>
      </c>
      <c r="B62" t="str">
        <f>'Trial Pricing Calculator'!L22</f>
        <v/>
      </c>
      <c r="J62" s="9"/>
      <c r="K62" s="9"/>
      <c r="L62" s="9"/>
      <c r="M62" s="9"/>
      <c r="N62" s="9"/>
    </row>
    <row r="63" spans="1:14" x14ac:dyDescent="0.35">
      <c r="A63" t="s">
        <v>134</v>
      </c>
      <c r="B63" t="str">
        <f>'Trial Pricing Calculator'!L23</f>
        <v/>
      </c>
      <c r="J63" s="9"/>
      <c r="K63" s="9"/>
      <c r="L63" s="9"/>
      <c r="M63" s="9"/>
      <c r="N63" s="9"/>
    </row>
    <row r="64" spans="1:14" x14ac:dyDescent="0.35">
      <c r="A64" t="s">
        <v>286</v>
      </c>
      <c r="B64" t="str">
        <f>'Trial Pricing Calculator'!L24</f>
        <v/>
      </c>
      <c r="J64" s="9"/>
      <c r="K64" s="9"/>
      <c r="L64" s="9"/>
      <c r="M64" s="9"/>
      <c r="N64" s="9"/>
    </row>
    <row r="65" spans="1:14" x14ac:dyDescent="0.35">
      <c r="A65" t="s">
        <v>285</v>
      </c>
      <c r="B65" s="202">
        <f>SUM(B55:B64)</f>
        <v>0</v>
      </c>
      <c r="J65" s="9"/>
      <c r="K65" s="9"/>
      <c r="L65" s="9"/>
      <c r="M65" s="9"/>
      <c r="N65" s="9"/>
    </row>
    <row r="66" spans="1:14" x14ac:dyDescent="0.35">
      <c r="J66" s="9"/>
      <c r="K66" s="9"/>
      <c r="L66" s="9"/>
      <c r="M66" s="9"/>
      <c r="N66" s="9"/>
    </row>
    <row r="67" spans="1:14" x14ac:dyDescent="0.35">
      <c r="J67" s="9"/>
      <c r="K67" s="9"/>
      <c r="L67" s="9"/>
      <c r="M67" s="9"/>
      <c r="N67" s="9"/>
    </row>
    <row r="68" spans="1:14" x14ac:dyDescent="0.35">
      <c r="J68" s="9"/>
      <c r="K68" s="9"/>
      <c r="L68" s="9"/>
      <c r="M68" s="9"/>
      <c r="N68" s="9"/>
    </row>
    <row r="69" spans="1:14" x14ac:dyDescent="0.35">
      <c r="J69" s="9"/>
      <c r="K69" s="9"/>
      <c r="L69" s="9"/>
      <c r="M69" s="9"/>
      <c r="N69" s="9"/>
    </row>
    <row r="70" spans="1:14" x14ac:dyDescent="0.35">
      <c r="J70" s="9"/>
      <c r="K70" s="9"/>
      <c r="L70" s="9"/>
      <c r="M70" s="9"/>
      <c r="N70" s="9"/>
    </row>
    <row r="71" spans="1:14" x14ac:dyDescent="0.35">
      <c r="A71" s="328" t="s">
        <v>284</v>
      </c>
      <c r="B71" s="328"/>
      <c r="C71" s="328"/>
      <c r="D71" s="328"/>
      <c r="J71" s="9"/>
      <c r="K71" s="9"/>
      <c r="L71" s="9"/>
      <c r="M71" s="9"/>
      <c r="N71" s="9"/>
    </row>
    <row r="72" spans="1:14" x14ac:dyDescent="0.35">
      <c r="A72" t="s">
        <v>277</v>
      </c>
      <c r="B72">
        <v>7.25</v>
      </c>
      <c r="J72" s="9"/>
      <c r="K72" s="9"/>
      <c r="L72" s="9"/>
      <c r="M72" s="9"/>
      <c r="N72" s="9"/>
    </row>
    <row r="73" spans="1:14" x14ac:dyDescent="0.35">
      <c r="A73" t="s">
        <v>25</v>
      </c>
      <c r="B73">
        <v>7.8871089999999997</v>
      </c>
      <c r="J73" s="9"/>
      <c r="K73" s="9"/>
      <c r="L73" s="9"/>
      <c r="M73" s="9"/>
      <c r="N73" s="9"/>
    </row>
    <row r="74" spans="1:14" x14ac:dyDescent="0.35">
      <c r="A74" t="s">
        <v>281</v>
      </c>
      <c r="B74">
        <v>2.242</v>
      </c>
      <c r="J74" s="9"/>
      <c r="K74" s="9"/>
      <c r="L74" s="9"/>
      <c r="M74" s="9"/>
      <c r="N74" s="9"/>
    </row>
    <row r="75" spans="1:14" x14ac:dyDescent="0.35">
      <c r="A75" t="s">
        <v>282</v>
      </c>
      <c r="B75">
        <v>0.35639999999999999</v>
      </c>
      <c r="J75" s="9"/>
      <c r="K75" s="9"/>
      <c r="L75" s="9"/>
      <c r="M75" s="9"/>
      <c r="N75" s="9"/>
    </row>
    <row r="76" spans="1:14" x14ac:dyDescent="0.35">
      <c r="A76" t="s">
        <v>286</v>
      </c>
      <c r="B76">
        <v>0</v>
      </c>
      <c r="J76" s="9"/>
      <c r="K76" s="9"/>
      <c r="L76" s="9"/>
      <c r="M76" s="9"/>
      <c r="N76" s="9"/>
    </row>
    <row r="77" spans="1:14" x14ac:dyDescent="0.35">
      <c r="J77" s="9"/>
      <c r="K77" s="9"/>
      <c r="L77" s="9"/>
      <c r="M77" s="9"/>
      <c r="N77" s="9"/>
    </row>
    <row r="78" spans="1:14" x14ac:dyDescent="0.35">
      <c r="J78" s="9"/>
      <c r="K78" s="9"/>
      <c r="L78" s="9"/>
      <c r="M78" s="9"/>
      <c r="N78" s="9"/>
    </row>
    <row r="79" spans="1:14" x14ac:dyDescent="0.35">
      <c r="J79" s="9"/>
      <c r="K79" s="9"/>
      <c r="L79" s="9"/>
      <c r="M79" s="9"/>
      <c r="N79" s="9"/>
    </row>
    <row r="80" spans="1:14" x14ac:dyDescent="0.35">
      <c r="J80" s="9"/>
      <c r="K80" s="9"/>
      <c r="L80" s="9"/>
      <c r="M80" s="9"/>
      <c r="N80" s="9"/>
    </row>
    <row r="81" spans="10:14" x14ac:dyDescent="0.35">
      <c r="J81" s="9"/>
      <c r="K81" s="9"/>
      <c r="L81" s="9"/>
      <c r="M81" s="9"/>
      <c r="N81" s="9"/>
    </row>
    <row r="82" spans="10:14" x14ac:dyDescent="0.35">
      <c r="J82" s="9"/>
      <c r="K82" s="9"/>
      <c r="L82" s="9"/>
      <c r="M82" s="9"/>
      <c r="N82" s="9"/>
    </row>
    <row r="83" spans="10:14" x14ac:dyDescent="0.35">
      <c r="J83" s="9"/>
      <c r="K83" s="9"/>
      <c r="L83" s="9"/>
      <c r="M83" s="9"/>
      <c r="N83" s="9"/>
    </row>
    <row r="84" spans="10:14" x14ac:dyDescent="0.35">
      <c r="J84" s="9"/>
      <c r="K84" s="9"/>
      <c r="L84" s="9"/>
      <c r="M84" s="9"/>
      <c r="N84" s="9"/>
    </row>
    <row r="85" spans="10:14" x14ac:dyDescent="0.35">
      <c r="J85" s="9"/>
      <c r="K85" s="9"/>
      <c r="L85" s="9"/>
      <c r="M85" s="9"/>
      <c r="N85" s="9"/>
    </row>
    <row r="86" spans="10:14" x14ac:dyDescent="0.35">
      <c r="J86" s="9"/>
      <c r="K86" s="9"/>
      <c r="L86" s="9"/>
      <c r="M86" s="9"/>
      <c r="N86" s="9"/>
    </row>
    <row r="87" spans="10:14" x14ac:dyDescent="0.35">
      <c r="J87" s="9"/>
      <c r="K87" s="9"/>
      <c r="L87" s="9"/>
      <c r="M87" s="9"/>
      <c r="N87" s="9"/>
    </row>
    <row r="88" spans="10:14" x14ac:dyDescent="0.35">
      <c r="J88" s="9"/>
      <c r="K88" s="9"/>
      <c r="L88" s="9"/>
      <c r="M88" s="9"/>
      <c r="N88" s="9"/>
    </row>
    <row r="89" spans="10:14" x14ac:dyDescent="0.35">
      <c r="J89" s="9"/>
      <c r="K89" s="9"/>
      <c r="L89" s="9"/>
      <c r="M89" s="9"/>
      <c r="N89" s="9"/>
    </row>
    <row r="90" spans="10:14" x14ac:dyDescent="0.35">
      <c r="J90" s="9"/>
      <c r="K90" s="9"/>
      <c r="L90" s="9"/>
      <c r="M90" s="9"/>
      <c r="N90" s="9"/>
    </row>
    <row r="91" spans="10:14" x14ac:dyDescent="0.35">
      <c r="J91" s="9"/>
      <c r="K91" s="9"/>
      <c r="L91" s="9"/>
      <c r="M91" s="9"/>
      <c r="N91" s="9"/>
    </row>
    <row r="92" spans="10:14" x14ac:dyDescent="0.35">
      <c r="J92" s="9"/>
      <c r="K92" s="9"/>
      <c r="L92" s="9"/>
      <c r="M92" s="9"/>
      <c r="N92" s="9"/>
    </row>
    <row r="93" spans="10:14" x14ac:dyDescent="0.35">
      <c r="J93" s="9"/>
      <c r="K93" s="9"/>
      <c r="L93" s="9"/>
      <c r="M93" s="9"/>
      <c r="N93" s="9"/>
    </row>
    <row r="94" spans="10:14" x14ac:dyDescent="0.35">
      <c r="J94" s="9"/>
      <c r="K94" s="9"/>
      <c r="L94" s="9"/>
      <c r="M94" s="9"/>
      <c r="N94" s="9"/>
    </row>
    <row r="95" spans="10:14" x14ac:dyDescent="0.35">
      <c r="J95" s="9"/>
      <c r="K95" s="9"/>
      <c r="L95" s="9"/>
      <c r="M95" s="9"/>
      <c r="N95" s="9"/>
    </row>
    <row r="96" spans="10:14" x14ac:dyDescent="0.35">
      <c r="J96" s="9"/>
      <c r="K96" s="9"/>
      <c r="L96" s="9"/>
      <c r="M96" s="9"/>
      <c r="N96" s="9"/>
    </row>
    <row r="97" spans="10:14" x14ac:dyDescent="0.35">
      <c r="J97" s="9"/>
      <c r="K97" s="9"/>
      <c r="L97" s="9"/>
      <c r="M97" s="9"/>
      <c r="N97" s="9"/>
    </row>
    <row r="98" spans="10:14" x14ac:dyDescent="0.35">
      <c r="J98" s="9"/>
      <c r="K98" s="9"/>
      <c r="L98" s="9"/>
      <c r="M98" s="9"/>
      <c r="N98" s="9"/>
    </row>
    <row r="99" spans="10:14" x14ac:dyDescent="0.35">
      <c r="J99" s="9"/>
      <c r="K99" s="9"/>
      <c r="L99" s="9"/>
      <c r="M99" s="9"/>
      <c r="N99" s="9"/>
    </row>
    <row r="100" spans="10:14" x14ac:dyDescent="0.35">
      <c r="J100" s="9"/>
      <c r="K100" s="9"/>
      <c r="L100" s="9"/>
      <c r="M100" s="9"/>
      <c r="N100" s="9"/>
    </row>
    <row r="101" spans="10:14" x14ac:dyDescent="0.35">
      <c r="J101" s="9"/>
      <c r="K101" s="9"/>
      <c r="L101" s="9"/>
      <c r="M101" s="9"/>
      <c r="N101" s="9"/>
    </row>
    <row r="102" spans="10:14" x14ac:dyDescent="0.35">
      <c r="J102" s="9"/>
      <c r="K102" s="9"/>
      <c r="L102" s="9"/>
      <c r="M102" s="9"/>
      <c r="N102" s="9"/>
    </row>
    <row r="103" spans="10:14" x14ac:dyDescent="0.35">
      <c r="J103" s="9"/>
      <c r="K103" s="9"/>
      <c r="L103" s="9"/>
      <c r="M103" s="9"/>
      <c r="N103" s="9"/>
    </row>
    <row r="104" spans="10:14" x14ac:dyDescent="0.35">
      <c r="J104" s="9"/>
      <c r="K104" s="9"/>
      <c r="L104" s="9"/>
      <c r="M104" s="9"/>
      <c r="N104" s="9"/>
    </row>
    <row r="105" spans="10:14" x14ac:dyDescent="0.35">
      <c r="J105" s="9"/>
      <c r="K105" s="9"/>
      <c r="L105" s="9"/>
      <c r="M105" s="9"/>
      <c r="N105" s="9"/>
    </row>
    <row r="106" spans="10:14" x14ac:dyDescent="0.35">
      <c r="J106" s="9"/>
      <c r="K106" s="9"/>
      <c r="L106" s="9"/>
      <c r="M106" s="9"/>
      <c r="N106" s="9"/>
    </row>
    <row r="107" spans="10:14" x14ac:dyDescent="0.35">
      <c r="J107" s="9"/>
      <c r="K107" s="9"/>
      <c r="L107" s="9"/>
      <c r="M107" s="9"/>
      <c r="N107" s="9"/>
    </row>
    <row r="108" spans="10:14" x14ac:dyDescent="0.35">
      <c r="J108" s="9"/>
      <c r="K108" s="9"/>
      <c r="L108" s="9"/>
      <c r="M108" s="9"/>
      <c r="N108" s="9"/>
    </row>
    <row r="109" spans="10:14" x14ac:dyDescent="0.35">
      <c r="J109" s="9"/>
      <c r="K109" s="9"/>
      <c r="L109" s="9"/>
      <c r="M109" s="9"/>
      <c r="N109" s="9"/>
    </row>
    <row r="110" spans="10:14" x14ac:dyDescent="0.35">
      <c r="J110" s="9"/>
      <c r="K110" s="9"/>
      <c r="L110" s="9"/>
      <c r="M110" s="9"/>
      <c r="N110" s="9"/>
    </row>
    <row r="111" spans="10:14" x14ac:dyDescent="0.35">
      <c r="J111" s="9"/>
      <c r="K111" s="9"/>
      <c r="L111" s="9"/>
      <c r="M111" s="9"/>
      <c r="N111" s="9"/>
    </row>
    <row r="112" spans="10:14" x14ac:dyDescent="0.35">
      <c r="J112" s="9"/>
      <c r="K112" s="9"/>
      <c r="L112" s="9"/>
      <c r="M112" s="9"/>
      <c r="N112" s="9"/>
    </row>
    <row r="113" spans="10:14" x14ac:dyDescent="0.35">
      <c r="J113" s="9"/>
      <c r="K113" s="9"/>
      <c r="L113" s="9"/>
      <c r="M113" s="9"/>
      <c r="N113" s="9"/>
    </row>
    <row r="114" spans="10:14" x14ac:dyDescent="0.35">
      <c r="J114" s="9"/>
      <c r="K114" s="9"/>
      <c r="L114" s="9"/>
      <c r="M114" s="9"/>
      <c r="N114" s="9"/>
    </row>
    <row r="115" spans="10:14" x14ac:dyDescent="0.35">
      <c r="J115" s="9"/>
      <c r="K115" s="9"/>
      <c r="L115" s="9"/>
      <c r="M115" s="9"/>
      <c r="N115" s="9"/>
    </row>
    <row r="116" spans="10:14" x14ac:dyDescent="0.35">
      <c r="J116" s="9"/>
      <c r="K116" s="9"/>
      <c r="L116" s="9"/>
      <c r="M116" s="9"/>
      <c r="N116" s="9"/>
    </row>
    <row r="117" spans="10:14" x14ac:dyDescent="0.35">
      <c r="J117" s="9"/>
      <c r="K117" s="9"/>
      <c r="L117" s="9"/>
      <c r="M117" s="9"/>
      <c r="N117" s="9"/>
    </row>
    <row r="118" spans="10:14" x14ac:dyDescent="0.35">
      <c r="J118" s="9"/>
      <c r="K118" s="9"/>
      <c r="L118" s="9"/>
      <c r="M118" s="9"/>
      <c r="N118" s="9"/>
    </row>
    <row r="119" spans="10:14" x14ac:dyDescent="0.35">
      <c r="J119" s="9"/>
      <c r="K119" s="9"/>
      <c r="L119" s="9"/>
      <c r="M119" s="9"/>
      <c r="N119" s="9"/>
    </row>
    <row r="120" spans="10:14" x14ac:dyDescent="0.35">
      <c r="J120" s="9"/>
      <c r="K120" s="9"/>
      <c r="L120" s="9"/>
      <c r="M120" s="9"/>
      <c r="N120" s="9"/>
    </row>
    <row r="121" spans="10:14" x14ac:dyDescent="0.35">
      <c r="J121" s="9"/>
      <c r="K121" s="9"/>
      <c r="L121" s="9"/>
      <c r="M121" s="9"/>
      <c r="N121" s="9"/>
    </row>
    <row r="122" spans="10:14" x14ac:dyDescent="0.35">
      <c r="J122" s="9"/>
      <c r="K122" s="9"/>
      <c r="L122" s="9"/>
      <c r="M122" s="9"/>
      <c r="N122" s="9"/>
    </row>
    <row r="123" spans="10:14" x14ac:dyDescent="0.35">
      <c r="J123" s="9"/>
      <c r="K123" s="9"/>
      <c r="L123" s="9"/>
      <c r="M123" s="9"/>
      <c r="N123" s="9"/>
    </row>
    <row r="124" spans="10:14" x14ac:dyDescent="0.35">
      <c r="J124" s="9"/>
      <c r="K124" s="9"/>
      <c r="L124" s="9"/>
      <c r="M124" s="9"/>
      <c r="N124" s="9"/>
    </row>
    <row r="125" spans="10:14" x14ac:dyDescent="0.35">
      <c r="J125" s="9"/>
      <c r="K125" s="9"/>
      <c r="L125" s="9"/>
      <c r="M125" s="9"/>
      <c r="N125" s="9"/>
    </row>
    <row r="126" spans="10:14" x14ac:dyDescent="0.35">
      <c r="J126" s="9"/>
      <c r="K126" s="9"/>
      <c r="L126" s="9"/>
      <c r="M126" s="9"/>
      <c r="N126" s="9"/>
    </row>
    <row r="127" spans="10:14" x14ac:dyDescent="0.35">
      <c r="J127" s="9"/>
      <c r="K127" s="9"/>
      <c r="L127" s="9"/>
      <c r="M127" s="9"/>
      <c r="N127" s="9"/>
    </row>
    <row r="128" spans="10:14" x14ac:dyDescent="0.35">
      <c r="J128" s="9"/>
      <c r="K128" s="9"/>
      <c r="L128" s="9"/>
      <c r="M128" s="9"/>
      <c r="N128" s="9"/>
    </row>
    <row r="129" spans="10:14" x14ac:dyDescent="0.35">
      <c r="J129" s="9"/>
      <c r="K129" s="9"/>
      <c r="L129" s="9"/>
      <c r="M129" s="9"/>
      <c r="N129" s="9"/>
    </row>
    <row r="130" spans="10:14" x14ac:dyDescent="0.35">
      <c r="J130" s="9"/>
      <c r="K130" s="9"/>
      <c r="L130" s="9"/>
      <c r="M130" s="9"/>
      <c r="N130" s="9"/>
    </row>
    <row r="131" spans="10:14" x14ac:dyDescent="0.35">
      <c r="J131" s="9"/>
      <c r="K131" s="9"/>
      <c r="L131" s="9"/>
      <c r="M131" s="9"/>
      <c r="N131" s="9"/>
    </row>
    <row r="132" spans="10:14" x14ac:dyDescent="0.35">
      <c r="J132" s="9"/>
      <c r="K132" s="9"/>
      <c r="L132" s="9"/>
      <c r="M132" s="9"/>
      <c r="N132" s="9"/>
    </row>
    <row r="133" spans="10:14" x14ac:dyDescent="0.35">
      <c r="J133" s="9"/>
      <c r="K133" s="9"/>
      <c r="L133" s="9"/>
      <c r="M133" s="9"/>
      <c r="N133" s="9"/>
    </row>
    <row r="134" spans="10:14" x14ac:dyDescent="0.35">
      <c r="J134" s="9"/>
      <c r="K134" s="9"/>
      <c r="L134" s="9"/>
      <c r="M134" s="9"/>
      <c r="N134" s="9"/>
    </row>
    <row r="135" spans="10:14" x14ac:dyDescent="0.35">
      <c r="J135" s="9"/>
      <c r="K135" s="9"/>
      <c r="L135" s="9"/>
      <c r="M135" s="9"/>
      <c r="N135" s="9"/>
    </row>
    <row r="136" spans="10:14" x14ac:dyDescent="0.35">
      <c r="J136" s="9"/>
      <c r="K136" s="9"/>
      <c r="L136" s="9"/>
      <c r="M136" s="9"/>
      <c r="N136" s="9"/>
    </row>
    <row r="137" spans="10:14" x14ac:dyDescent="0.35">
      <c r="J137" s="9"/>
      <c r="K137" s="9"/>
      <c r="L137" s="9"/>
      <c r="M137" s="9"/>
      <c r="N137" s="9"/>
    </row>
    <row r="138" spans="10:14" x14ac:dyDescent="0.35">
      <c r="J138" s="9"/>
      <c r="K138" s="9"/>
      <c r="L138" s="9"/>
      <c r="M138" s="9"/>
      <c r="N138" s="9"/>
    </row>
    <row r="139" spans="10:14" x14ac:dyDescent="0.35">
      <c r="J139" s="9"/>
      <c r="K139" s="9"/>
      <c r="L139" s="9"/>
      <c r="M139" s="9"/>
      <c r="N139" s="9"/>
    </row>
    <row r="140" spans="10:14" x14ac:dyDescent="0.35">
      <c r="J140" s="9"/>
      <c r="K140" s="9"/>
      <c r="L140" s="9"/>
      <c r="M140" s="9"/>
      <c r="N140" s="9"/>
    </row>
    <row r="141" spans="10:14" x14ac:dyDescent="0.35">
      <c r="J141" s="9"/>
      <c r="K141" s="9"/>
      <c r="L141" s="9"/>
      <c r="M141" s="9"/>
      <c r="N141" s="9"/>
    </row>
    <row r="142" spans="10:14" x14ac:dyDescent="0.35">
      <c r="J142" s="9"/>
      <c r="K142" s="9"/>
      <c r="L142" s="9"/>
      <c r="M142" s="9"/>
      <c r="N142" s="9"/>
    </row>
    <row r="143" spans="10:14" x14ac:dyDescent="0.35">
      <c r="J143" s="9"/>
      <c r="K143" s="9"/>
      <c r="L143" s="9"/>
      <c r="M143" s="9"/>
      <c r="N143" s="9"/>
    </row>
    <row r="144" spans="10:14" x14ac:dyDescent="0.35">
      <c r="J144" s="9"/>
      <c r="K144" s="9"/>
      <c r="L144" s="9"/>
      <c r="M144" s="9"/>
      <c r="N144" s="9"/>
    </row>
    <row r="145" spans="10:14" x14ac:dyDescent="0.35">
      <c r="J145" s="9"/>
      <c r="K145" s="9"/>
      <c r="L145" s="9"/>
      <c r="M145" s="9"/>
      <c r="N145" s="9"/>
    </row>
    <row r="146" spans="10:14" x14ac:dyDescent="0.35">
      <c r="J146" s="9"/>
      <c r="K146" s="9"/>
      <c r="L146" s="9"/>
      <c r="M146" s="9"/>
      <c r="N146" s="9"/>
    </row>
    <row r="147" spans="10:14" x14ac:dyDescent="0.35">
      <c r="J147" s="9"/>
      <c r="K147" s="9"/>
      <c r="L147" s="9"/>
      <c r="M147" s="9"/>
      <c r="N147" s="9"/>
    </row>
    <row r="148" spans="10:14" x14ac:dyDescent="0.35">
      <c r="J148" s="9"/>
      <c r="K148" s="9"/>
      <c r="L148" s="9"/>
      <c r="M148" s="9"/>
      <c r="N148" s="9"/>
    </row>
    <row r="149" spans="10:14" x14ac:dyDescent="0.35">
      <c r="J149" s="9"/>
      <c r="K149" s="9"/>
      <c r="L149" s="9"/>
      <c r="M149" s="9"/>
      <c r="N149" s="9"/>
    </row>
    <row r="150" spans="10:14" x14ac:dyDescent="0.35">
      <c r="J150" s="9"/>
      <c r="K150" s="9"/>
      <c r="L150" s="9"/>
      <c r="M150" s="9"/>
      <c r="N150" s="9"/>
    </row>
    <row r="151" spans="10:14" x14ac:dyDescent="0.35">
      <c r="J151" s="9"/>
      <c r="K151" s="9"/>
      <c r="L151" s="9"/>
      <c r="M151" s="9"/>
      <c r="N151" s="9"/>
    </row>
    <row r="152" spans="10:14" x14ac:dyDescent="0.35">
      <c r="J152" s="9"/>
      <c r="K152" s="9"/>
      <c r="L152" s="9"/>
      <c r="M152" s="9"/>
      <c r="N152" s="9"/>
    </row>
    <row r="153" spans="10:14" x14ac:dyDescent="0.35">
      <c r="J153" s="9"/>
      <c r="K153" s="9"/>
      <c r="L153" s="9"/>
      <c r="M153" s="9"/>
      <c r="N153" s="9"/>
    </row>
    <row r="154" spans="10:14" x14ac:dyDescent="0.35">
      <c r="J154" s="9"/>
      <c r="K154" s="9"/>
      <c r="L154" s="9"/>
      <c r="M154" s="9"/>
      <c r="N154" s="9"/>
    </row>
    <row r="155" spans="10:14" x14ac:dyDescent="0.35">
      <c r="J155" s="9"/>
      <c r="K155" s="9"/>
      <c r="L155" s="9"/>
      <c r="M155" s="9"/>
      <c r="N155" s="9"/>
    </row>
    <row r="156" spans="10:14" x14ac:dyDescent="0.35">
      <c r="J156" s="9"/>
      <c r="K156" s="9"/>
      <c r="L156" s="9"/>
      <c r="M156" s="9"/>
      <c r="N156" s="9"/>
    </row>
    <row r="157" spans="10:14" x14ac:dyDescent="0.35">
      <c r="J157" s="9"/>
      <c r="K157" s="9"/>
      <c r="L157" s="9"/>
      <c r="M157" s="9"/>
      <c r="N157" s="9"/>
    </row>
    <row r="158" spans="10:14" x14ac:dyDescent="0.35">
      <c r="J158" s="9"/>
      <c r="K158" s="9"/>
      <c r="L158" s="9"/>
      <c r="M158" s="9"/>
      <c r="N158" s="9"/>
    </row>
    <row r="159" spans="10:14" x14ac:dyDescent="0.35">
      <c r="J159" s="9"/>
      <c r="K159" s="9"/>
      <c r="L159" s="9"/>
      <c r="M159" s="9"/>
      <c r="N159" s="9"/>
    </row>
    <row r="160" spans="10:14" x14ac:dyDescent="0.35">
      <c r="J160" s="9"/>
      <c r="K160" s="9"/>
      <c r="L160" s="9"/>
      <c r="M160" s="9"/>
      <c r="N160" s="9"/>
    </row>
    <row r="161" spans="10:14" x14ac:dyDescent="0.35">
      <c r="J161" s="9"/>
      <c r="K161" s="9"/>
      <c r="L161" s="9"/>
      <c r="M161" s="9"/>
      <c r="N161" s="9"/>
    </row>
    <row r="162" spans="10:14" x14ac:dyDescent="0.35">
      <c r="J162" s="9"/>
      <c r="K162" s="9"/>
      <c r="L162" s="9"/>
      <c r="M162" s="9"/>
      <c r="N162" s="9"/>
    </row>
    <row r="163" spans="10:14" x14ac:dyDescent="0.35">
      <c r="J163" s="9"/>
      <c r="K163" s="9"/>
      <c r="L163" s="9"/>
      <c r="M163" s="9"/>
      <c r="N163" s="9"/>
    </row>
    <row r="164" spans="10:14" x14ac:dyDescent="0.35">
      <c r="J164" s="9"/>
      <c r="K164" s="9"/>
      <c r="L164" s="9"/>
      <c r="M164" s="9"/>
      <c r="N164" s="9"/>
    </row>
    <row r="165" spans="10:14" x14ac:dyDescent="0.35">
      <c r="J165" s="9"/>
      <c r="K165" s="9"/>
      <c r="L165" s="9"/>
      <c r="M165" s="9"/>
      <c r="N165" s="9"/>
    </row>
    <row r="166" spans="10:14" x14ac:dyDescent="0.35">
      <c r="J166" s="9"/>
      <c r="K166" s="9"/>
      <c r="L166" s="9"/>
      <c r="M166" s="9"/>
      <c r="N166" s="9"/>
    </row>
    <row r="167" spans="10:14" x14ac:dyDescent="0.35">
      <c r="J167" s="9"/>
      <c r="K167" s="9"/>
      <c r="L167" s="9"/>
      <c r="M167" s="9"/>
      <c r="N167" s="9"/>
    </row>
    <row r="168" spans="10:14" x14ac:dyDescent="0.35">
      <c r="J168" s="9"/>
      <c r="K168" s="9"/>
      <c r="L168" s="9"/>
      <c r="M168" s="9"/>
      <c r="N168" s="9"/>
    </row>
    <row r="169" spans="10:14" x14ac:dyDescent="0.35">
      <c r="J169" s="9"/>
      <c r="K169" s="9"/>
      <c r="L169" s="9"/>
      <c r="M169" s="9"/>
      <c r="N169" s="9"/>
    </row>
    <row r="170" spans="10:14" x14ac:dyDescent="0.35">
      <c r="J170" s="9"/>
      <c r="K170" s="9"/>
      <c r="L170" s="9"/>
      <c r="M170" s="9"/>
      <c r="N170" s="9"/>
    </row>
    <row r="171" spans="10:14" x14ac:dyDescent="0.35">
      <c r="J171" s="9"/>
      <c r="K171" s="9"/>
      <c r="L171" s="9"/>
      <c r="M171" s="9"/>
      <c r="N171" s="9"/>
    </row>
    <row r="172" spans="10:14" x14ac:dyDescent="0.35">
      <c r="J172" s="9"/>
      <c r="K172" s="9"/>
      <c r="L172" s="9"/>
      <c r="M172" s="9"/>
      <c r="N172" s="9"/>
    </row>
    <row r="173" spans="10:14" x14ac:dyDescent="0.35">
      <c r="J173" s="9"/>
      <c r="K173" s="9"/>
      <c r="L173" s="9"/>
      <c r="M173" s="9"/>
      <c r="N173" s="9"/>
    </row>
    <row r="174" spans="10:14" x14ac:dyDescent="0.35">
      <c r="J174" s="9"/>
      <c r="K174" s="9"/>
      <c r="L174" s="9"/>
      <c r="M174" s="9"/>
      <c r="N174" s="9"/>
    </row>
    <row r="175" spans="10:14" x14ac:dyDescent="0.35">
      <c r="J175" s="9"/>
      <c r="K175" s="9"/>
      <c r="L175" s="9"/>
      <c r="M175" s="9"/>
      <c r="N175" s="9"/>
    </row>
    <row r="176" spans="10:14" x14ac:dyDescent="0.35">
      <c r="J176" s="9"/>
      <c r="K176" s="9"/>
      <c r="L176" s="9"/>
      <c r="M176" s="9"/>
      <c r="N176" s="9"/>
    </row>
    <row r="177" spans="10:14" x14ac:dyDescent="0.35">
      <c r="J177" s="9"/>
      <c r="K177" s="9"/>
      <c r="L177" s="9"/>
      <c r="M177" s="9"/>
      <c r="N177" s="9"/>
    </row>
    <row r="178" spans="10:14" x14ac:dyDescent="0.35">
      <c r="J178" s="9"/>
      <c r="K178" s="9"/>
      <c r="L178" s="9"/>
      <c r="M178" s="9"/>
      <c r="N178" s="9"/>
    </row>
    <row r="179" spans="10:14" x14ac:dyDescent="0.35">
      <c r="J179" s="9"/>
      <c r="K179" s="9"/>
      <c r="L179" s="9"/>
      <c r="M179" s="9"/>
      <c r="N179" s="9"/>
    </row>
    <row r="180" spans="10:14" x14ac:dyDescent="0.35">
      <c r="J180" s="9"/>
      <c r="K180" s="9"/>
      <c r="L180" s="9"/>
      <c r="M180" s="9"/>
      <c r="N180" s="9"/>
    </row>
    <row r="181" spans="10:14" x14ac:dyDescent="0.35">
      <c r="J181" s="9"/>
      <c r="K181" s="9"/>
      <c r="L181" s="9"/>
      <c r="M181" s="9"/>
      <c r="N181" s="9"/>
    </row>
    <row r="182" spans="10:14" x14ac:dyDescent="0.35">
      <c r="J182" s="9"/>
      <c r="K182" s="9"/>
      <c r="L182" s="9"/>
      <c r="M182" s="9"/>
      <c r="N182" s="9"/>
    </row>
    <row r="183" spans="10:14" x14ac:dyDescent="0.35">
      <c r="J183" s="9"/>
      <c r="K183" s="9"/>
      <c r="L183" s="9"/>
      <c r="M183" s="9"/>
      <c r="N183" s="9"/>
    </row>
    <row r="184" spans="10:14" x14ac:dyDescent="0.35">
      <c r="J184" s="9"/>
      <c r="K184" s="9"/>
      <c r="L184" s="9"/>
      <c r="M184" s="9"/>
      <c r="N184" s="9"/>
    </row>
    <row r="185" spans="10:14" x14ac:dyDescent="0.35">
      <c r="J185" s="9"/>
      <c r="K185" s="9"/>
      <c r="L185" s="9"/>
      <c r="M185" s="9"/>
      <c r="N185" s="9"/>
    </row>
    <row r="186" spans="10:14" x14ac:dyDescent="0.35">
      <c r="J186" s="9"/>
      <c r="K186" s="9"/>
      <c r="L186" s="9"/>
      <c r="M186" s="9"/>
      <c r="N186" s="9"/>
    </row>
    <row r="187" spans="10:14" x14ac:dyDescent="0.35">
      <c r="J187" s="9"/>
      <c r="K187" s="9"/>
      <c r="L187" s="9"/>
      <c r="M187" s="9"/>
      <c r="N187" s="9"/>
    </row>
    <row r="188" spans="10:14" x14ac:dyDescent="0.35">
      <c r="J188" s="9"/>
      <c r="K188" s="9"/>
      <c r="L188" s="9"/>
      <c r="M188" s="9"/>
      <c r="N188" s="9"/>
    </row>
    <row r="189" spans="10:14" x14ac:dyDescent="0.35">
      <c r="J189" s="9"/>
      <c r="K189" s="9"/>
      <c r="L189" s="9"/>
      <c r="M189" s="9"/>
      <c r="N189" s="9"/>
    </row>
    <row r="190" spans="10:14" x14ac:dyDescent="0.35">
      <c r="J190" s="9"/>
      <c r="K190" s="9"/>
      <c r="L190" s="9"/>
      <c r="M190" s="9"/>
      <c r="N190" s="9"/>
    </row>
    <row r="191" spans="10:14" x14ac:dyDescent="0.35">
      <c r="J191" s="9"/>
      <c r="K191" s="9"/>
      <c r="L191" s="9"/>
      <c r="M191" s="9"/>
      <c r="N191" s="9"/>
    </row>
    <row r="192" spans="10:14" x14ac:dyDescent="0.35">
      <c r="J192" s="9"/>
      <c r="K192" s="9"/>
      <c r="L192" s="9"/>
      <c r="M192" s="9"/>
      <c r="N192" s="9"/>
    </row>
    <row r="193" spans="10:14" x14ac:dyDescent="0.35">
      <c r="J193" s="9"/>
      <c r="K193" s="9"/>
      <c r="L193" s="9"/>
      <c r="M193" s="9"/>
      <c r="N193" s="9"/>
    </row>
    <row r="194" spans="10:14" x14ac:dyDescent="0.35">
      <c r="J194" s="9"/>
      <c r="K194" s="9"/>
      <c r="L194" s="9"/>
      <c r="M194" s="9"/>
      <c r="N194" s="9"/>
    </row>
    <row r="195" spans="10:14" x14ac:dyDescent="0.35">
      <c r="J195" s="9"/>
      <c r="K195" s="9"/>
      <c r="L195" s="9"/>
      <c r="M195" s="9"/>
      <c r="N195" s="9"/>
    </row>
    <row r="196" spans="10:14" x14ac:dyDescent="0.35">
      <c r="J196" s="9"/>
      <c r="K196" s="9"/>
      <c r="L196" s="9"/>
      <c r="M196" s="9"/>
      <c r="N196" s="9"/>
    </row>
    <row r="197" spans="10:14" x14ac:dyDescent="0.35">
      <c r="J197" s="9"/>
      <c r="K197" s="9"/>
      <c r="L197" s="9"/>
      <c r="M197" s="9"/>
      <c r="N197" s="9"/>
    </row>
    <row r="198" spans="10:14" x14ac:dyDescent="0.35">
      <c r="J198" s="9"/>
      <c r="K198" s="9"/>
      <c r="L198" s="9"/>
      <c r="M198" s="9"/>
      <c r="N198" s="9"/>
    </row>
    <row r="199" spans="10:14" x14ac:dyDescent="0.35">
      <c r="J199" s="9"/>
      <c r="K199" s="9"/>
      <c r="L199" s="9"/>
      <c r="M199" s="9"/>
      <c r="N199" s="9"/>
    </row>
    <row r="200" spans="10:14" x14ac:dyDescent="0.35">
      <c r="J200" s="9"/>
      <c r="K200" s="9"/>
      <c r="L200" s="9"/>
      <c r="M200" s="9"/>
      <c r="N200" s="9"/>
    </row>
    <row r="201" spans="10:14" x14ac:dyDescent="0.35">
      <c r="J201" s="9"/>
      <c r="K201" s="9"/>
      <c r="L201" s="9"/>
      <c r="M201" s="9"/>
      <c r="N201" s="9"/>
    </row>
    <row r="202" spans="10:14" x14ac:dyDescent="0.35">
      <c r="J202" s="9"/>
      <c r="K202" s="9"/>
      <c r="L202" s="9"/>
      <c r="M202" s="9"/>
      <c r="N202" s="9"/>
    </row>
    <row r="203" spans="10:14" x14ac:dyDescent="0.35">
      <c r="J203" s="9"/>
      <c r="K203" s="9"/>
      <c r="L203" s="9"/>
      <c r="M203" s="9"/>
      <c r="N203" s="9"/>
    </row>
    <row r="204" spans="10:14" x14ac:dyDescent="0.35">
      <c r="J204" s="9"/>
      <c r="K204" s="9"/>
      <c r="L204" s="9"/>
      <c r="M204" s="9"/>
      <c r="N204" s="9"/>
    </row>
    <row r="205" spans="10:14" x14ac:dyDescent="0.35">
      <c r="J205" s="9"/>
      <c r="K205" s="9"/>
      <c r="L205" s="9"/>
      <c r="M205" s="9"/>
      <c r="N205" s="9"/>
    </row>
    <row r="206" spans="10:14" x14ac:dyDescent="0.35">
      <c r="J206" s="9"/>
      <c r="K206" s="9"/>
      <c r="L206" s="9"/>
      <c r="M206" s="9"/>
      <c r="N206" s="9"/>
    </row>
    <row r="207" spans="10:14" x14ac:dyDescent="0.35">
      <c r="J207" s="9"/>
      <c r="K207" s="9"/>
      <c r="L207" s="9"/>
      <c r="M207" s="9"/>
      <c r="N207" s="9"/>
    </row>
    <row r="208" spans="10:14" x14ac:dyDescent="0.35">
      <c r="J208" s="9"/>
      <c r="K208" s="9"/>
      <c r="L208" s="9"/>
      <c r="M208" s="9"/>
      <c r="N208" s="9"/>
    </row>
    <row r="209" spans="10:14" x14ac:dyDescent="0.35">
      <c r="J209" s="9"/>
      <c r="K209" s="9"/>
      <c r="L209" s="9"/>
      <c r="M209" s="9"/>
      <c r="N209" s="9"/>
    </row>
    <row r="210" spans="10:14" x14ac:dyDescent="0.35">
      <c r="J210" s="9"/>
      <c r="K210" s="9"/>
      <c r="L210" s="9"/>
      <c r="M210" s="9"/>
      <c r="N210" s="9"/>
    </row>
    <row r="211" spans="10:14" x14ac:dyDescent="0.35">
      <c r="J211" s="9"/>
      <c r="K211" s="9"/>
      <c r="L211" s="9"/>
      <c r="M211" s="9"/>
      <c r="N211" s="9"/>
    </row>
    <row r="212" spans="10:14" x14ac:dyDescent="0.35">
      <c r="J212" s="9"/>
      <c r="K212" s="9"/>
      <c r="L212" s="9"/>
      <c r="M212" s="9"/>
      <c r="N212" s="9"/>
    </row>
    <row r="213" spans="10:14" x14ac:dyDescent="0.35">
      <c r="J213" s="9"/>
      <c r="K213" s="9"/>
      <c r="L213" s="9"/>
      <c r="M213" s="9"/>
      <c r="N213" s="9"/>
    </row>
    <row r="214" spans="10:14" x14ac:dyDescent="0.35">
      <c r="J214" s="9"/>
      <c r="K214" s="9"/>
      <c r="L214" s="9"/>
      <c r="M214" s="9"/>
      <c r="N214" s="9"/>
    </row>
    <row r="215" spans="10:14" x14ac:dyDescent="0.35">
      <c r="J215" s="9"/>
      <c r="K215" s="9"/>
      <c r="L215" s="9"/>
      <c r="M215" s="9"/>
      <c r="N215" s="9"/>
    </row>
    <row r="216" spans="10:14" x14ac:dyDescent="0.35">
      <c r="J216" s="9"/>
      <c r="K216" s="9"/>
      <c r="L216" s="9"/>
      <c r="M216" s="9"/>
      <c r="N216" s="9"/>
    </row>
    <row r="217" spans="10:14" x14ac:dyDescent="0.35">
      <c r="J217" s="9"/>
      <c r="K217" s="9"/>
      <c r="L217" s="9"/>
      <c r="M217" s="9"/>
      <c r="N217" s="9"/>
    </row>
    <row r="218" spans="10:14" x14ac:dyDescent="0.35">
      <c r="J218" s="9"/>
      <c r="K218" s="9"/>
      <c r="L218" s="9"/>
      <c r="M218" s="9"/>
      <c r="N218" s="9"/>
    </row>
    <row r="219" spans="10:14" x14ac:dyDescent="0.35">
      <c r="J219" s="9"/>
      <c r="K219" s="9"/>
      <c r="L219" s="9"/>
      <c r="M219" s="9"/>
      <c r="N219" s="9"/>
    </row>
    <row r="220" spans="10:14" x14ac:dyDescent="0.35">
      <c r="J220" s="9"/>
      <c r="K220" s="9"/>
      <c r="L220" s="9"/>
      <c r="M220" s="9"/>
      <c r="N220" s="9"/>
    </row>
    <row r="221" spans="10:14" x14ac:dyDescent="0.35">
      <c r="J221" s="9"/>
      <c r="K221" s="9"/>
      <c r="L221" s="9"/>
      <c r="M221" s="9"/>
      <c r="N221" s="9"/>
    </row>
    <row r="222" spans="10:14" x14ac:dyDescent="0.35">
      <c r="J222" s="9"/>
      <c r="K222" s="9"/>
      <c r="L222" s="9"/>
      <c r="M222" s="9"/>
      <c r="N222" s="9"/>
    </row>
    <row r="223" spans="10:14" x14ac:dyDescent="0.35">
      <c r="J223" s="9"/>
      <c r="K223" s="9"/>
      <c r="L223" s="9"/>
      <c r="M223" s="9"/>
      <c r="N223" s="9"/>
    </row>
    <row r="224" spans="10:14" x14ac:dyDescent="0.35">
      <c r="J224" s="9"/>
      <c r="K224" s="9"/>
      <c r="L224" s="9"/>
      <c r="M224" s="9"/>
      <c r="N224" s="9"/>
    </row>
    <row r="225" spans="10:14" x14ac:dyDescent="0.35">
      <c r="J225" s="9"/>
      <c r="K225" s="9"/>
      <c r="L225" s="9"/>
      <c r="M225" s="9"/>
      <c r="N225" s="9"/>
    </row>
    <row r="226" spans="10:14" x14ac:dyDescent="0.35">
      <c r="J226" s="9"/>
      <c r="K226" s="9"/>
      <c r="L226" s="9"/>
      <c r="M226" s="9"/>
      <c r="N226" s="9"/>
    </row>
    <row r="227" spans="10:14" x14ac:dyDescent="0.35">
      <c r="J227" s="9"/>
      <c r="K227" s="9"/>
      <c r="L227" s="9"/>
      <c r="M227" s="9"/>
      <c r="N227" s="9"/>
    </row>
    <row r="228" spans="10:14" x14ac:dyDescent="0.35">
      <c r="J228" s="9"/>
      <c r="K228" s="9"/>
      <c r="L228" s="9"/>
      <c r="M228" s="9"/>
      <c r="N228" s="9"/>
    </row>
    <row r="229" spans="10:14" x14ac:dyDescent="0.35">
      <c r="J229" s="9"/>
      <c r="K229" s="9"/>
      <c r="L229" s="9"/>
      <c r="M229" s="9"/>
      <c r="N229" s="9"/>
    </row>
    <row r="230" spans="10:14" x14ac:dyDescent="0.35">
      <c r="J230" s="9"/>
      <c r="K230" s="9"/>
      <c r="L230" s="9"/>
      <c r="M230" s="9"/>
      <c r="N230" s="9"/>
    </row>
    <row r="231" spans="10:14" x14ac:dyDescent="0.35">
      <c r="J231" s="9"/>
      <c r="K231" s="9"/>
      <c r="L231" s="9"/>
      <c r="M231" s="9"/>
      <c r="N231" s="9"/>
    </row>
    <row r="232" spans="10:14" x14ac:dyDescent="0.35">
      <c r="J232" s="9"/>
      <c r="K232" s="9"/>
      <c r="L232" s="9"/>
      <c r="M232" s="9"/>
      <c r="N232" s="9"/>
    </row>
    <row r="233" spans="10:14" x14ac:dyDescent="0.35">
      <c r="J233" s="9"/>
      <c r="K233" s="9"/>
      <c r="L233" s="9"/>
      <c r="M233" s="9"/>
      <c r="N233" s="9"/>
    </row>
    <row r="234" spans="10:14" x14ac:dyDescent="0.35">
      <c r="J234" s="9"/>
      <c r="K234" s="9"/>
      <c r="L234" s="9"/>
      <c r="M234" s="9"/>
      <c r="N234" s="9"/>
    </row>
    <row r="235" spans="10:14" x14ac:dyDescent="0.35">
      <c r="J235" s="9"/>
      <c r="K235" s="9"/>
      <c r="L235" s="9"/>
      <c r="M235" s="9"/>
      <c r="N235" s="9"/>
    </row>
    <row r="236" spans="10:14" x14ac:dyDescent="0.35">
      <c r="J236" s="9"/>
      <c r="K236" s="9"/>
      <c r="L236" s="9"/>
      <c r="M236" s="9"/>
      <c r="N236" s="9"/>
    </row>
    <row r="237" spans="10:14" x14ac:dyDescent="0.35">
      <c r="J237" s="9"/>
      <c r="K237" s="9"/>
      <c r="L237" s="9"/>
      <c r="M237" s="9"/>
      <c r="N237" s="9"/>
    </row>
    <row r="238" spans="10:14" x14ac:dyDescent="0.35">
      <c r="J238" s="9"/>
      <c r="K238" s="9"/>
      <c r="L238" s="9"/>
      <c r="M238" s="9"/>
      <c r="N238" s="9"/>
    </row>
    <row r="239" spans="10:14" x14ac:dyDescent="0.35">
      <c r="J239" s="9"/>
      <c r="K239" s="9"/>
      <c r="L239" s="9"/>
      <c r="M239" s="9"/>
      <c r="N239" s="9"/>
    </row>
    <row r="240" spans="10:14" x14ac:dyDescent="0.35">
      <c r="J240" s="9"/>
      <c r="K240" s="9"/>
      <c r="L240" s="9"/>
      <c r="M240" s="9"/>
      <c r="N240" s="9"/>
    </row>
    <row r="241" spans="10:14" x14ac:dyDescent="0.35">
      <c r="J241" s="9"/>
      <c r="K241" s="9"/>
      <c r="L241" s="9"/>
      <c r="M241" s="9"/>
      <c r="N241" s="9"/>
    </row>
    <row r="242" spans="10:14" x14ac:dyDescent="0.35">
      <c r="J242" s="9"/>
      <c r="K242" s="9"/>
      <c r="L242" s="9"/>
      <c r="M242" s="9"/>
      <c r="N242" s="9"/>
    </row>
    <row r="243" spans="10:14" x14ac:dyDescent="0.35">
      <c r="J243" s="9"/>
      <c r="K243" s="9"/>
      <c r="L243" s="9"/>
      <c r="M243" s="9"/>
      <c r="N243" s="9"/>
    </row>
    <row r="244" spans="10:14" x14ac:dyDescent="0.35">
      <c r="J244" s="9"/>
      <c r="K244" s="9"/>
      <c r="L244" s="9"/>
      <c r="M244" s="9"/>
      <c r="N244" s="9"/>
    </row>
    <row r="245" spans="10:14" x14ac:dyDescent="0.35">
      <c r="J245" s="9"/>
      <c r="K245" s="9"/>
      <c r="L245" s="9"/>
      <c r="M245" s="9"/>
      <c r="N245" s="9"/>
    </row>
    <row r="246" spans="10:14" x14ac:dyDescent="0.35">
      <c r="J246" s="9"/>
      <c r="K246" s="9"/>
      <c r="L246" s="9"/>
      <c r="M246" s="9"/>
      <c r="N246" s="9"/>
    </row>
    <row r="247" spans="10:14" x14ac:dyDescent="0.35">
      <c r="J247" s="9"/>
      <c r="K247" s="9"/>
      <c r="L247" s="9"/>
      <c r="M247" s="9"/>
      <c r="N247" s="9"/>
    </row>
    <row r="248" spans="10:14" x14ac:dyDescent="0.35">
      <c r="J248" s="9"/>
      <c r="K248" s="9"/>
      <c r="L248" s="9"/>
      <c r="M248" s="9"/>
      <c r="N248" s="9"/>
    </row>
    <row r="249" spans="10:14" x14ac:dyDescent="0.35">
      <c r="J249" s="9"/>
      <c r="K249" s="9"/>
      <c r="L249" s="9"/>
      <c r="M249" s="9"/>
      <c r="N249" s="9"/>
    </row>
    <row r="250" spans="10:14" x14ac:dyDescent="0.35">
      <c r="J250" s="9"/>
      <c r="K250" s="9"/>
      <c r="L250" s="9"/>
      <c r="M250" s="9"/>
      <c r="N250" s="9"/>
    </row>
    <row r="251" spans="10:14" x14ac:dyDescent="0.35">
      <c r="J251" s="9"/>
      <c r="K251" s="9"/>
      <c r="L251" s="9"/>
      <c r="M251" s="9"/>
      <c r="N251" s="9"/>
    </row>
    <row r="252" spans="10:14" x14ac:dyDescent="0.35">
      <c r="J252" s="9"/>
      <c r="K252" s="9"/>
      <c r="L252" s="9"/>
      <c r="M252" s="9"/>
      <c r="N252" s="9"/>
    </row>
    <row r="253" spans="10:14" x14ac:dyDescent="0.35">
      <c r="J253" s="9"/>
      <c r="K253" s="9"/>
      <c r="L253" s="9"/>
      <c r="M253" s="9"/>
      <c r="N253" s="9"/>
    </row>
    <row r="254" spans="10:14" x14ac:dyDescent="0.35">
      <c r="J254" s="9"/>
      <c r="K254" s="9"/>
      <c r="L254" s="9"/>
      <c r="M254" s="9"/>
      <c r="N254" s="9"/>
    </row>
    <row r="255" spans="10:14" x14ac:dyDescent="0.35">
      <c r="J255" s="9"/>
      <c r="K255" s="9"/>
      <c r="L255" s="9"/>
      <c r="M255" s="9"/>
      <c r="N255" s="9"/>
    </row>
    <row r="256" spans="10:14" x14ac:dyDescent="0.35">
      <c r="J256" s="9"/>
      <c r="K256" s="9"/>
      <c r="L256" s="9"/>
      <c r="M256" s="9"/>
      <c r="N256" s="9"/>
    </row>
    <row r="257" spans="10:14" x14ac:dyDescent="0.35">
      <c r="J257" s="9"/>
      <c r="K257" s="9"/>
      <c r="L257" s="9"/>
      <c r="M257" s="9"/>
      <c r="N257" s="9"/>
    </row>
    <row r="258" spans="10:14" x14ac:dyDescent="0.35">
      <c r="J258" s="9"/>
      <c r="K258" s="9"/>
      <c r="L258" s="9"/>
      <c r="M258" s="9"/>
      <c r="N258" s="9"/>
    </row>
  </sheetData>
  <mergeCells count="14">
    <mergeCell ref="A54:D54"/>
    <mergeCell ref="A71:D71"/>
    <mergeCell ref="D17:G17"/>
    <mergeCell ref="D8:G8"/>
    <mergeCell ref="J2:N2"/>
    <mergeCell ref="D2:G2"/>
    <mergeCell ref="D5:G5"/>
    <mergeCell ref="D11:G11"/>
    <mergeCell ref="D14:G14"/>
    <mergeCell ref="L3:L4"/>
    <mergeCell ref="M3:M4"/>
    <mergeCell ref="N3:N4"/>
    <mergeCell ref="K3:K4"/>
    <mergeCell ref="J3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E260"/>
  <sheetViews>
    <sheetView showGridLines="0" topLeftCell="I1" zoomScaleNormal="100" workbookViewId="0">
      <selection activeCell="K29" sqref="K29"/>
    </sheetView>
  </sheetViews>
  <sheetFormatPr defaultColWidth="9.1796875" defaultRowHeight="14.5" x14ac:dyDescent="0.35"/>
  <cols>
    <col min="1" max="1" width="18.26953125" style="37" customWidth="1"/>
    <col min="2" max="2" width="16.1796875" style="37" bestFit="1" customWidth="1"/>
    <col min="3" max="3" width="12.1796875" style="37" bestFit="1" customWidth="1"/>
    <col min="4" max="4" width="14.90625" style="37" bestFit="1" customWidth="1"/>
    <col min="5" max="9" width="9.1796875" style="37" customWidth="1"/>
    <col min="10" max="10" width="11.6328125" style="37" bestFit="1" customWidth="1"/>
    <col min="11" max="12" width="9.1796875" style="37" customWidth="1"/>
    <col min="13" max="13" width="10.81640625" style="37" bestFit="1" customWidth="1"/>
    <col min="14" max="14" width="41.90625" style="37" bestFit="1" customWidth="1"/>
    <col min="15" max="15" width="9.1796875" style="37" customWidth="1"/>
    <col min="16" max="16" width="23.1796875" style="37" customWidth="1"/>
    <col min="17" max="17" width="9.1796875" style="37" customWidth="1"/>
    <col min="18" max="18" width="19.81640625" style="37" customWidth="1"/>
    <col min="19" max="19" width="9.1796875" style="37" customWidth="1"/>
    <col min="20" max="20" width="13.1796875" style="37" customWidth="1"/>
    <col min="21" max="21" width="9.1796875" style="37"/>
    <col min="22" max="22" width="14.1796875" style="37" bestFit="1" customWidth="1"/>
    <col min="23" max="23" width="9.1796875" style="37"/>
    <col min="24" max="24" width="5.453125" style="37" customWidth="1"/>
    <col min="25" max="25" width="27.453125" style="37" bestFit="1" customWidth="1"/>
    <col min="26" max="26" width="9.1796875" style="37"/>
    <col min="27" max="27" width="15.81640625" style="37" customWidth="1"/>
    <col min="28" max="30" width="9.1796875" style="37"/>
    <col min="31" max="31" width="17.81640625" style="37" bestFit="1" customWidth="1"/>
    <col min="32" max="32" width="4.08984375" style="37" customWidth="1"/>
    <col min="33" max="16384" width="9.1796875" style="37"/>
  </cols>
  <sheetData>
    <row r="1" spans="1:31" ht="15" thickBot="1" x14ac:dyDescent="0.4">
      <c r="A1" s="341" t="s">
        <v>26</v>
      </c>
      <c r="B1" s="342"/>
      <c r="C1" s="342"/>
      <c r="D1" s="342"/>
      <c r="E1" s="343"/>
      <c r="F1" s="95"/>
      <c r="G1" s="95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31" ht="16" thickBot="1" x14ac:dyDescent="0.4">
      <c r="A2" s="91" t="s">
        <v>26</v>
      </c>
      <c r="B2" s="92" t="s">
        <v>21</v>
      </c>
      <c r="C2" s="92" t="s">
        <v>21</v>
      </c>
      <c r="D2" s="92" t="s">
        <v>21</v>
      </c>
      <c r="E2" s="93" t="s">
        <v>21</v>
      </c>
      <c r="F2" s="96"/>
      <c r="G2" s="96"/>
      <c r="I2" s="64" t="s">
        <v>24</v>
      </c>
      <c r="J2" s="65"/>
      <c r="K2" s="66" t="s">
        <v>308</v>
      </c>
      <c r="L2" s="63"/>
      <c r="M2" s="67" t="s">
        <v>27</v>
      </c>
      <c r="N2" s="68"/>
      <c r="O2" s="68"/>
      <c r="P2" s="68"/>
      <c r="Q2" s="68"/>
      <c r="R2" s="68"/>
      <c r="S2" s="69"/>
      <c r="T2" s="66" t="s">
        <v>48</v>
      </c>
      <c r="U2" s="70"/>
      <c r="V2" s="66" t="s">
        <v>1</v>
      </c>
      <c r="W2" s="70"/>
      <c r="X2" s="66" t="s">
        <v>135</v>
      </c>
      <c r="Y2" s="70"/>
      <c r="Z2" s="70"/>
      <c r="AA2" s="66" t="s">
        <v>297</v>
      </c>
      <c r="AB2" s="70"/>
    </row>
    <row r="3" spans="1:31" ht="26" x14ac:dyDescent="0.35">
      <c r="A3" s="88"/>
      <c r="B3" s="89" t="s">
        <v>36</v>
      </c>
      <c r="C3" s="89" t="s">
        <v>16</v>
      </c>
      <c r="D3" s="89" t="s">
        <v>160</v>
      </c>
      <c r="E3" s="90" t="s">
        <v>12</v>
      </c>
      <c r="F3" s="90" t="s">
        <v>161</v>
      </c>
      <c r="G3" s="90"/>
      <c r="H3" s="87" t="s">
        <v>29</v>
      </c>
      <c r="I3" s="52"/>
      <c r="J3" s="53"/>
      <c r="K3" s="50"/>
      <c r="L3" s="51"/>
      <c r="M3" s="54"/>
      <c r="N3" s="55"/>
      <c r="O3" s="55"/>
      <c r="P3" s="55"/>
      <c r="Q3" s="55"/>
      <c r="R3" s="55"/>
      <c r="S3" s="56"/>
      <c r="T3" s="50"/>
      <c r="U3" s="72"/>
      <c r="V3" s="50"/>
      <c r="W3" s="72"/>
      <c r="X3" s="50"/>
      <c r="Y3" s="72"/>
      <c r="Z3" s="72"/>
      <c r="AA3" s="50" t="s">
        <v>238</v>
      </c>
      <c r="AB3" s="72"/>
    </row>
    <row r="4" spans="1:31" ht="17" customHeight="1" x14ac:dyDescent="0.35">
      <c r="A4" s="37" t="s">
        <v>16</v>
      </c>
      <c r="B4" s="5" t="s">
        <v>40</v>
      </c>
      <c r="C4" s="5" t="s">
        <v>41</v>
      </c>
      <c r="D4" s="5" t="s">
        <v>42</v>
      </c>
      <c r="E4" s="62" t="s">
        <v>12</v>
      </c>
      <c r="F4" s="62" t="s">
        <v>43</v>
      </c>
      <c r="G4" s="62"/>
      <c r="I4" s="99" t="s">
        <v>163</v>
      </c>
      <c r="J4" s="98" t="s">
        <v>162</v>
      </c>
      <c r="K4" s="57" t="s">
        <v>23</v>
      </c>
      <c r="L4" s="58" t="s">
        <v>28</v>
      </c>
      <c r="M4" s="57" t="s">
        <v>27</v>
      </c>
      <c r="N4" s="59" t="s">
        <v>30</v>
      </c>
      <c r="O4" s="59" t="s">
        <v>31</v>
      </c>
      <c r="P4" s="59" t="s">
        <v>32</v>
      </c>
      <c r="Q4" s="59" t="s">
        <v>33</v>
      </c>
      <c r="R4" s="59" t="s">
        <v>34</v>
      </c>
      <c r="S4" s="58" t="s">
        <v>35</v>
      </c>
      <c r="T4" s="57" t="s">
        <v>141</v>
      </c>
      <c r="U4" s="73" t="s">
        <v>28</v>
      </c>
      <c r="V4" s="57" t="s">
        <v>141</v>
      </c>
      <c r="W4" s="73" t="s">
        <v>28</v>
      </c>
      <c r="X4" s="57" t="s">
        <v>236</v>
      </c>
      <c r="Y4" s="104" t="s">
        <v>157</v>
      </c>
      <c r="Z4" s="73" t="s">
        <v>28</v>
      </c>
      <c r="AA4" s="57" t="s">
        <v>239</v>
      </c>
      <c r="AB4" s="73" t="s">
        <v>28</v>
      </c>
    </row>
    <row r="5" spans="1:31" x14ac:dyDescent="0.35">
      <c r="A5" s="71" t="s">
        <v>36</v>
      </c>
      <c r="B5" s="5" t="s">
        <v>50</v>
      </c>
      <c r="C5" s="5" t="s">
        <v>51</v>
      </c>
      <c r="D5" s="5" t="s">
        <v>52</v>
      </c>
      <c r="E5" s="62"/>
      <c r="F5" s="5" t="s">
        <v>53</v>
      </c>
      <c r="G5" s="5"/>
      <c r="H5" s="60"/>
      <c r="I5" s="57"/>
      <c r="J5" s="58"/>
      <c r="K5" s="57"/>
      <c r="L5" s="58"/>
      <c r="M5" s="57"/>
      <c r="N5" s="59"/>
      <c r="O5" s="59"/>
      <c r="P5" s="59"/>
      <c r="Q5" s="59"/>
      <c r="R5" s="59"/>
      <c r="S5" s="58"/>
      <c r="T5" s="57"/>
      <c r="U5" s="73"/>
      <c r="V5" s="57"/>
      <c r="W5" s="73"/>
      <c r="X5" s="57"/>
      <c r="Y5" s="73"/>
      <c r="Z5" s="73"/>
      <c r="AA5" s="57"/>
      <c r="AB5" s="73"/>
    </row>
    <row r="6" spans="1:31" x14ac:dyDescent="0.35">
      <c r="A6" s="71" t="s">
        <v>160</v>
      </c>
      <c r="B6" s="5" t="s">
        <v>59</v>
      </c>
      <c r="C6" s="5" t="s">
        <v>71</v>
      </c>
      <c r="D6" s="5" t="s">
        <v>60</v>
      </c>
      <c r="E6" s="62"/>
      <c r="F6" s="5"/>
      <c r="G6" s="5"/>
      <c r="H6" s="7" t="s">
        <v>3</v>
      </c>
      <c r="I6" s="4" t="s">
        <v>48</v>
      </c>
      <c r="J6" s="6" t="s">
        <v>49</v>
      </c>
      <c r="K6" s="49" t="s">
        <v>44</v>
      </c>
      <c r="L6" s="47">
        <v>1</v>
      </c>
      <c r="M6" s="4" t="s">
        <v>38</v>
      </c>
      <c r="N6" s="74" t="s">
        <v>45</v>
      </c>
      <c r="O6" s="280">
        <v>0.42</v>
      </c>
      <c r="P6" s="74" t="s">
        <v>46</v>
      </c>
      <c r="Q6" s="280">
        <v>0.6</v>
      </c>
      <c r="R6" s="74" t="s">
        <v>47</v>
      </c>
      <c r="S6" s="259">
        <v>1.45</v>
      </c>
      <c r="T6" s="4" t="s">
        <v>12</v>
      </c>
      <c r="U6" s="5">
        <v>0.3695</v>
      </c>
      <c r="V6" s="103" t="s">
        <v>36</v>
      </c>
      <c r="W6" s="37">
        <v>1.4435</v>
      </c>
      <c r="X6" s="37" t="s">
        <v>170</v>
      </c>
      <c r="Y6" s="37" t="s">
        <v>171</v>
      </c>
      <c r="Z6" s="105">
        <v>1.15E-2</v>
      </c>
      <c r="AA6" s="107" t="s">
        <v>36</v>
      </c>
      <c r="AB6" s="37">
        <v>0.28039999999999998</v>
      </c>
      <c r="AE6" s="71"/>
    </row>
    <row r="7" spans="1:31" x14ac:dyDescent="0.35">
      <c r="A7" s="71" t="s">
        <v>12</v>
      </c>
      <c r="B7" s="5" t="s">
        <v>65</v>
      </c>
      <c r="C7" s="5" t="s">
        <v>18</v>
      </c>
      <c r="D7" s="5" t="s">
        <v>144</v>
      </c>
      <c r="E7" s="62"/>
      <c r="F7" s="5"/>
      <c r="G7" s="5"/>
      <c r="H7" s="7" t="s">
        <v>2</v>
      </c>
      <c r="I7" s="4" t="s">
        <v>58</v>
      </c>
      <c r="J7" s="6"/>
      <c r="K7" s="49" t="s">
        <v>83</v>
      </c>
      <c r="L7" s="276">
        <v>1.46</v>
      </c>
      <c r="M7" s="4" t="s">
        <v>55</v>
      </c>
      <c r="N7" s="74" t="s">
        <v>56</v>
      </c>
      <c r="O7" s="280">
        <v>0.42</v>
      </c>
      <c r="P7" s="74" t="s">
        <v>57</v>
      </c>
      <c r="Q7" s="75">
        <v>0.88</v>
      </c>
      <c r="R7" s="74" t="s">
        <v>138</v>
      </c>
      <c r="S7" s="259">
        <v>1.45</v>
      </c>
      <c r="T7" s="42" t="s">
        <v>241</v>
      </c>
      <c r="U7" s="283">
        <v>13.84</v>
      </c>
      <c r="V7" s="103" t="s">
        <v>16</v>
      </c>
      <c r="W7" s="105">
        <v>2.2349999999999999</v>
      </c>
      <c r="X7" s="37" t="s">
        <v>172</v>
      </c>
      <c r="Y7" s="37" t="s">
        <v>173</v>
      </c>
      <c r="Z7" s="105">
        <v>1.21E-2</v>
      </c>
      <c r="AA7" s="107" t="s">
        <v>16</v>
      </c>
      <c r="AB7" s="37">
        <v>0.4466</v>
      </c>
      <c r="AE7" s="71"/>
    </row>
    <row r="8" spans="1:31" x14ac:dyDescent="0.35">
      <c r="A8" s="71"/>
      <c r="B8" s="5" t="s">
        <v>70</v>
      </c>
      <c r="C8" s="5"/>
      <c r="D8" s="94" t="s">
        <v>159</v>
      </c>
      <c r="E8" s="62"/>
      <c r="F8" s="5"/>
      <c r="G8" s="5"/>
      <c r="H8" s="7"/>
      <c r="I8" s="4"/>
      <c r="J8" s="6"/>
      <c r="K8" s="49" t="s">
        <v>61</v>
      </c>
      <c r="L8" s="259">
        <v>1.64</v>
      </c>
      <c r="M8" s="4" t="s">
        <v>39</v>
      </c>
      <c r="N8" s="74" t="s">
        <v>62</v>
      </c>
      <c r="O8" s="280">
        <v>0.42</v>
      </c>
      <c r="P8" s="74" t="s">
        <v>63</v>
      </c>
      <c r="Q8" s="280">
        <v>1</v>
      </c>
      <c r="R8" s="74" t="s">
        <v>64</v>
      </c>
      <c r="S8" s="259">
        <v>2.63</v>
      </c>
      <c r="T8" s="42" t="s">
        <v>240</v>
      </c>
      <c r="U8" s="102">
        <v>0.35099999999999998</v>
      </c>
      <c r="V8" s="103" t="s">
        <v>160</v>
      </c>
      <c r="W8" s="37">
        <v>1.0931</v>
      </c>
      <c r="X8" s="37" t="s">
        <v>174</v>
      </c>
      <c r="Y8" s="37" t="s">
        <v>175</v>
      </c>
      <c r="Z8" s="105">
        <v>1.8200000000000001E-2</v>
      </c>
      <c r="AA8" s="107" t="s">
        <v>160</v>
      </c>
      <c r="AB8" s="37">
        <v>0.21809999999999999</v>
      </c>
    </row>
    <row r="9" spans="1:31" x14ac:dyDescent="0.35">
      <c r="A9" s="71"/>
      <c r="B9" s="5" t="s">
        <v>77</v>
      </c>
      <c r="C9" s="5"/>
      <c r="D9" s="94" t="s">
        <v>303</v>
      </c>
      <c r="E9" s="62"/>
      <c r="F9" s="5"/>
      <c r="G9" s="5"/>
      <c r="H9" s="7"/>
      <c r="I9" s="4"/>
      <c r="J9" s="6"/>
      <c r="K9" s="49" t="s">
        <v>66</v>
      </c>
      <c r="L9" s="276">
        <v>0.82</v>
      </c>
      <c r="M9" s="4"/>
      <c r="N9" s="74" t="s">
        <v>67</v>
      </c>
      <c r="O9" s="280">
        <v>0.42</v>
      </c>
      <c r="P9" s="74" t="s">
        <v>68</v>
      </c>
      <c r="Q9" s="280">
        <v>0.81</v>
      </c>
      <c r="R9" s="74" t="s">
        <v>69</v>
      </c>
      <c r="S9" s="259">
        <v>4</v>
      </c>
      <c r="T9" s="4" t="s">
        <v>142</v>
      </c>
      <c r="U9" s="284">
        <v>0.73</v>
      </c>
      <c r="V9" s="103" t="s">
        <v>12</v>
      </c>
      <c r="W9" s="37">
        <v>0.53669999999999995</v>
      </c>
      <c r="X9" s="37" t="s">
        <v>176</v>
      </c>
      <c r="Y9" s="37" t="s">
        <v>177</v>
      </c>
      <c r="Z9" s="105">
        <v>1.01E-2</v>
      </c>
      <c r="AA9" s="107" t="s">
        <v>12</v>
      </c>
      <c r="AB9" s="37">
        <v>0.1111</v>
      </c>
    </row>
    <row r="10" spans="1:31" x14ac:dyDescent="0.35">
      <c r="A10" s="71"/>
      <c r="B10" s="5" t="s">
        <v>82</v>
      </c>
      <c r="C10" s="5"/>
      <c r="D10" s="94"/>
      <c r="E10" s="62"/>
      <c r="F10" s="5"/>
      <c r="G10" s="5"/>
      <c r="H10" s="7"/>
      <c r="I10" s="100" t="s">
        <v>256</v>
      </c>
      <c r="J10" s="6"/>
      <c r="K10" s="49" t="s">
        <v>72</v>
      </c>
      <c r="L10" s="276">
        <v>0.08</v>
      </c>
      <c r="M10" s="4"/>
      <c r="N10" s="74" t="s">
        <v>73</v>
      </c>
      <c r="O10" s="280">
        <v>0.42</v>
      </c>
      <c r="P10" s="74" t="s">
        <v>74</v>
      </c>
      <c r="Q10" s="280">
        <v>0.51</v>
      </c>
      <c r="R10" s="74" t="s">
        <v>75</v>
      </c>
      <c r="S10" s="259">
        <v>1.81</v>
      </c>
      <c r="T10" s="4" t="s">
        <v>143</v>
      </c>
      <c r="U10" s="5">
        <v>0.35099999999999998</v>
      </c>
      <c r="V10" s="103"/>
      <c r="X10" s="37" t="s">
        <v>178</v>
      </c>
      <c r="Y10" s="37" t="s">
        <v>179</v>
      </c>
      <c r="Z10" s="105">
        <v>8.3999999999999995E-3</v>
      </c>
    </row>
    <row r="11" spans="1:31" x14ac:dyDescent="0.35">
      <c r="A11" s="71"/>
      <c r="B11" s="5" t="s">
        <v>86</v>
      </c>
      <c r="C11" s="5"/>
      <c r="D11" s="5"/>
      <c r="E11" s="62"/>
      <c r="F11" s="5"/>
      <c r="G11" s="5"/>
      <c r="H11" s="7"/>
      <c r="I11" s="4" t="s">
        <v>246</v>
      </c>
      <c r="J11" s="6"/>
      <c r="K11" s="49" t="s">
        <v>78</v>
      </c>
      <c r="L11" s="259">
        <v>1.88</v>
      </c>
      <c r="M11" s="4"/>
      <c r="N11" s="74" t="s">
        <v>79</v>
      </c>
      <c r="O11" s="280">
        <v>0.42</v>
      </c>
      <c r="P11" s="74" t="s">
        <v>80</v>
      </c>
      <c r="Q11" s="280">
        <v>0.72</v>
      </c>
      <c r="R11" s="74" t="s">
        <v>81</v>
      </c>
      <c r="S11" s="47">
        <v>1.2</v>
      </c>
      <c r="T11" s="4"/>
      <c r="U11" s="76"/>
      <c r="V11" s="38"/>
      <c r="X11" s="37" t="s">
        <v>180</v>
      </c>
      <c r="Y11" s="37" t="s">
        <v>181</v>
      </c>
      <c r="Z11" s="105">
        <v>2.29E-2</v>
      </c>
    </row>
    <row r="12" spans="1:31" x14ac:dyDescent="0.35">
      <c r="F12" s="97"/>
      <c r="G12" s="97"/>
      <c r="H12" s="7"/>
      <c r="I12" s="4" t="s">
        <v>250</v>
      </c>
      <c r="J12" s="6"/>
      <c r="K12" s="49" t="s">
        <v>54</v>
      </c>
      <c r="L12" s="276">
        <v>0.9</v>
      </c>
      <c r="M12" s="4"/>
      <c r="N12" s="74" t="s">
        <v>242</v>
      </c>
      <c r="O12" s="280">
        <v>0.42</v>
      </c>
      <c r="P12" s="74" t="s">
        <v>84</v>
      </c>
      <c r="Q12" s="75">
        <v>1.1200000000000001</v>
      </c>
      <c r="R12" s="74" t="s">
        <v>85</v>
      </c>
      <c r="S12" s="47">
        <v>2.42</v>
      </c>
      <c r="T12" s="4"/>
      <c r="U12" s="76"/>
      <c r="V12" s="38"/>
      <c r="X12" s="37" t="s">
        <v>182</v>
      </c>
      <c r="Y12" s="37" t="s">
        <v>183</v>
      </c>
      <c r="Z12" s="105">
        <v>6.0900000000000003E-2</v>
      </c>
    </row>
    <row r="13" spans="1:31" x14ac:dyDescent="0.35">
      <c r="F13" s="97"/>
      <c r="G13" s="97"/>
      <c r="H13" s="7"/>
      <c r="I13" s="4" t="s">
        <v>255</v>
      </c>
      <c r="J13" s="6"/>
      <c r="K13" s="4"/>
      <c r="L13" s="6"/>
      <c r="M13" s="4"/>
      <c r="N13" s="74" t="s">
        <v>243</v>
      </c>
      <c r="O13" s="280">
        <v>0.42</v>
      </c>
      <c r="P13" s="74" t="s">
        <v>87</v>
      </c>
      <c r="Q13" s="75">
        <v>1.01</v>
      </c>
      <c r="R13" s="74" t="s">
        <v>88</v>
      </c>
      <c r="S13" s="47">
        <v>2.44</v>
      </c>
      <c r="T13" s="4"/>
      <c r="U13" s="76"/>
      <c r="V13" s="38"/>
      <c r="X13" s="37" t="s">
        <v>184</v>
      </c>
      <c r="Y13" s="37" t="s">
        <v>185</v>
      </c>
      <c r="Z13" s="105">
        <v>7.3200000000000001E-2</v>
      </c>
    </row>
    <row r="14" spans="1:31" x14ac:dyDescent="0.35">
      <c r="A14" s="71"/>
      <c r="B14" s="5"/>
      <c r="C14" s="5"/>
      <c r="D14" s="5"/>
      <c r="E14" s="62"/>
      <c r="F14" s="5"/>
      <c r="G14" s="5"/>
      <c r="H14" s="7"/>
      <c r="I14" s="4"/>
      <c r="J14" s="6"/>
      <c r="K14" s="4" t="s">
        <v>309</v>
      </c>
      <c r="L14" s="6"/>
      <c r="M14" s="4"/>
      <c r="N14" s="74" t="s">
        <v>89</v>
      </c>
      <c r="O14" s="280">
        <v>0.42</v>
      </c>
      <c r="P14" s="74" t="s">
        <v>90</v>
      </c>
      <c r="Q14" s="75">
        <v>0.36</v>
      </c>
      <c r="R14" s="74" t="s">
        <v>91</v>
      </c>
      <c r="S14" s="259">
        <v>1.84</v>
      </c>
      <c r="T14" s="4"/>
      <c r="U14" s="76"/>
      <c r="V14" s="38"/>
      <c r="X14" s="37" t="s">
        <v>186</v>
      </c>
      <c r="Y14" s="37" t="s">
        <v>187</v>
      </c>
      <c r="Z14" s="105">
        <v>8.5300000000000001E-2</v>
      </c>
    </row>
    <row r="15" spans="1:31" x14ac:dyDescent="0.35">
      <c r="A15" s="71"/>
      <c r="B15" s="5"/>
      <c r="C15" s="5"/>
      <c r="D15" s="5"/>
      <c r="E15" s="62"/>
      <c r="F15" s="5"/>
      <c r="G15" s="5"/>
      <c r="H15" s="7"/>
      <c r="I15" s="4"/>
      <c r="J15" s="6"/>
      <c r="K15" s="49" t="s">
        <v>44</v>
      </c>
      <c r="L15" s="47">
        <v>1</v>
      </c>
      <c r="M15" s="4"/>
      <c r="N15" s="74" t="s">
        <v>92</v>
      </c>
      <c r="O15" s="280">
        <v>0.42</v>
      </c>
      <c r="P15" s="74" t="s">
        <v>93</v>
      </c>
      <c r="Q15" s="280">
        <v>0.3</v>
      </c>
      <c r="R15" s="74" t="s">
        <v>94</v>
      </c>
      <c r="S15" s="259">
        <v>1.55</v>
      </c>
      <c r="T15" s="4"/>
      <c r="U15" s="76"/>
      <c r="V15" s="38"/>
      <c r="X15" s="37" t="s">
        <v>188</v>
      </c>
      <c r="Y15" s="37" t="s">
        <v>189</v>
      </c>
      <c r="Z15" s="105">
        <v>0.12189999999999999</v>
      </c>
    </row>
    <row r="16" spans="1:31" x14ac:dyDescent="0.35">
      <c r="A16" s="71"/>
      <c r="B16" s="5"/>
      <c r="C16" s="5"/>
      <c r="D16" s="5"/>
      <c r="E16" s="62"/>
      <c r="F16" s="5"/>
      <c r="G16" s="5"/>
      <c r="H16" s="7"/>
      <c r="I16" s="100" t="s">
        <v>257</v>
      </c>
      <c r="J16" s="6"/>
      <c r="K16" s="4"/>
      <c r="L16" s="6"/>
      <c r="M16" s="4"/>
      <c r="N16" s="74" t="s">
        <v>139</v>
      </c>
      <c r="O16" s="280">
        <v>0.16</v>
      </c>
      <c r="P16" s="74" t="s">
        <v>95</v>
      </c>
      <c r="Q16" s="280">
        <v>2.0299999999999998</v>
      </c>
      <c r="R16" s="74" t="s">
        <v>96</v>
      </c>
      <c r="S16" s="259">
        <v>1.8</v>
      </c>
      <c r="T16" s="4"/>
      <c r="U16" s="76"/>
      <c r="V16" s="38"/>
      <c r="X16" s="37" t="s">
        <v>190</v>
      </c>
      <c r="Y16" s="37" t="s">
        <v>191</v>
      </c>
      <c r="Z16" s="105">
        <v>0.13400000000000001</v>
      </c>
    </row>
    <row r="17" spans="1:26" x14ac:dyDescent="0.35">
      <c r="A17" s="71"/>
      <c r="B17" s="5"/>
      <c r="C17" s="5"/>
      <c r="D17" s="5"/>
      <c r="E17" s="62"/>
      <c r="F17" s="5"/>
      <c r="G17" s="5"/>
      <c r="H17" s="7"/>
      <c r="I17" s="4" t="s">
        <v>246</v>
      </c>
      <c r="J17" s="6"/>
      <c r="K17" s="4"/>
      <c r="L17" s="6"/>
      <c r="M17" s="4"/>
      <c r="N17" s="74" t="s">
        <v>97</v>
      </c>
      <c r="O17" s="280">
        <v>0.16</v>
      </c>
      <c r="P17" s="74" t="s">
        <v>98</v>
      </c>
      <c r="Q17" s="280">
        <v>1.32</v>
      </c>
      <c r="R17" s="74" t="s">
        <v>99</v>
      </c>
      <c r="S17" s="259">
        <v>4</v>
      </c>
      <c r="T17" s="4"/>
      <c r="U17" s="76"/>
      <c r="V17" s="38"/>
      <c r="X17" s="37" t="s">
        <v>192</v>
      </c>
      <c r="Y17" s="37" t="s">
        <v>193</v>
      </c>
      <c r="Z17" s="105">
        <v>0.1585</v>
      </c>
    </row>
    <row r="18" spans="1:26" x14ac:dyDescent="0.35">
      <c r="A18" s="151" t="s">
        <v>245</v>
      </c>
      <c r="B18" s="5"/>
      <c r="C18" s="152" t="s">
        <v>305</v>
      </c>
      <c r="D18" s="5"/>
      <c r="E18" s="159" t="s">
        <v>260</v>
      </c>
      <c r="F18" s="5"/>
      <c r="G18" s="5"/>
      <c r="H18" s="7"/>
      <c r="I18" s="4" t="s">
        <v>250</v>
      </c>
      <c r="J18" s="6"/>
      <c r="K18" s="4"/>
      <c r="L18" s="6"/>
      <c r="M18" s="4"/>
      <c r="N18" s="74" t="s">
        <v>100</v>
      </c>
      <c r="O18" s="75">
        <v>0.39</v>
      </c>
      <c r="P18" s="74" t="s">
        <v>101</v>
      </c>
      <c r="Q18" s="75">
        <v>1.92</v>
      </c>
      <c r="R18" s="74" t="s">
        <v>102</v>
      </c>
      <c r="S18" s="259">
        <v>4</v>
      </c>
      <c r="T18" s="4"/>
      <c r="U18" s="76"/>
      <c r="V18" s="38"/>
      <c r="X18" s="37" t="s">
        <v>194</v>
      </c>
      <c r="Y18" s="37" t="s">
        <v>195</v>
      </c>
      <c r="Z18" s="105">
        <v>0.17050000000000001</v>
      </c>
    </row>
    <row r="19" spans="1:26" x14ac:dyDescent="0.35">
      <c r="A19" s="71" t="s">
        <v>12</v>
      </c>
      <c r="B19" s="5"/>
      <c r="C19" s="5" t="s">
        <v>42</v>
      </c>
      <c r="D19" s="5"/>
      <c r="E19" s="62" t="s">
        <v>22</v>
      </c>
      <c r="F19" s="5"/>
      <c r="G19" s="5"/>
      <c r="H19" s="7"/>
      <c r="I19" s="4"/>
      <c r="J19" s="6"/>
      <c r="K19" s="4"/>
      <c r="L19" s="6"/>
      <c r="M19" s="4"/>
      <c r="N19" s="74" t="s">
        <v>103</v>
      </c>
      <c r="O19" s="280">
        <v>0.42</v>
      </c>
      <c r="P19" s="74" t="s">
        <v>104</v>
      </c>
      <c r="Q19" s="75">
        <v>0.82</v>
      </c>
      <c r="R19" s="74" t="s">
        <v>105</v>
      </c>
      <c r="S19" s="259">
        <v>1.47</v>
      </c>
      <c r="T19" s="4"/>
      <c r="U19" s="76"/>
      <c r="V19" s="38"/>
      <c r="X19" s="37" t="s">
        <v>196</v>
      </c>
      <c r="Y19" s="37" t="s">
        <v>197</v>
      </c>
      <c r="Z19" s="105">
        <v>0.19500000000000001</v>
      </c>
    </row>
    <row r="20" spans="1:26" x14ac:dyDescent="0.35">
      <c r="A20" s="71" t="s">
        <v>160</v>
      </c>
      <c r="B20" s="5"/>
      <c r="C20" s="5" t="s">
        <v>52</v>
      </c>
      <c r="D20" s="5"/>
      <c r="E20" s="62" t="s">
        <v>250</v>
      </c>
      <c r="F20" s="5"/>
      <c r="G20" s="5"/>
      <c r="H20" s="7"/>
      <c r="I20" s="4"/>
      <c r="J20" s="6"/>
      <c r="K20" s="4"/>
      <c r="L20" s="6"/>
      <c r="M20" s="4"/>
      <c r="N20" s="74" t="s">
        <v>106</v>
      </c>
      <c r="O20" s="280">
        <v>0.42</v>
      </c>
      <c r="P20" s="74" t="s">
        <v>107</v>
      </c>
      <c r="Q20" s="280">
        <v>0.8</v>
      </c>
      <c r="R20" s="74" t="s">
        <v>108</v>
      </c>
      <c r="S20" s="259">
        <v>1.43</v>
      </c>
      <c r="T20" s="4"/>
      <c r="U20" s="76"/>
      <c r="V20" s="38"/>
      <c r="X20" s="37" t="s">
        <v>198</v>
      </c>
      <c r="Y20" s="37" t="s">
        <v>199</v>
      </c>
      <c r="Z20" s="105">
        <v>0.24360000000000001</v>
      </c>
    </row>
    <row r="21" spans="1:26" x14ac:dyDescent="0.35">
      <c r="A21" s="71"/>
      <c r="B21" s="5"/>
      <c r="C21" s="5" t="s">
        <v>60</v>
      </c>
      <c r="D21" s="5"/>
      <c r="E21" s="62"/>
      <c r="F21" s="5"/>
      <c r="G21" s="5"/>
      <c r="H21" s="7"/>
      <c r="I21" s="4"/>
      <c r="J21" s="6"/>
      <c r="K21" s="4"/>
      <c r="L21" s="6"/>
      <c r="M21" s="4"/>
      <c r="N21" s="74" t="s">
        <v>109</v>
      </c>
      <c r="O21" s="280">
        <v>0.42</v>
      </c>
      <c r="P21" s="74" t="s">
        <v>110</v>
      </c>
      <c r="Q21" s="280">
        <v>1.06</v>
      </c>
      <c r="R21" s="74" t="s">
        <v>111</v>
      </c>
      <c r="S21" s="259">
        <v>1.5</v>
      </c>
      <c r="T21" s="4"/>
      <c r="U21" s="76"/>
      <c r="V21" s="38"/>
      <c r="X21" s="37" t="s">
        <v>200</v>
      </c>
      <c r="Y21" s="37" t="s">
        <v>201</v>
      </c>
      <c r="Z21" s="105">
        <v>0.30459999999999998</v>
      </c>
    </row>
    <row r="22" spans="1:26" x14ac:dyDescent="0.35">
      <c r="A22" s="71"/>
      <c r="B22" s="5"/>
      <c r="C22" s="5" t="s">
        <v>144</v>
      </c>
      <c r="D22" s="5"/>
      <c r="E22" s="62"/>
      <c r="F22" s="5"/>
      <c r="G22" s="5"/>
      <c r="H22" s="7"/>
      <c r="I22" s="4"/>
      <c r="J22" s="6"/>
      <c r="K22" s="4"/>
      <c r="L22" s="6"/>
      <c r="M22" s="4"/>
      <c r="N22" s="74" t="s">
        <v>112</v>
      </c>
      <c r="O22" s="280">
        <v>0.42</v>
      </c>
      <c r="P22" s="74" t="s">
        <v>113</v>
      </c>
      <c r="Q22" s="280">
        <v>1.75</v>
      </c>
      <c r="R22" s="74" t="s">
        <v>114</v>
      </c>
      <c r="S22" s="259">
        <v>1.5</v>
      </c>
      <c r="T22" s="4"/>
      <c r="U22" s="76"/>
      <c r="V22" s="38"/>
      <c r="X22" s="37" t="s">
        <v>202</v>
      </c>
      <c r="Y22" s="37" t="s">
        <v>203</v>
      </c>
      <c r="Z22" s="105">
        <v>0.34110000000000001</v>
      </c>
    </row>
    <row r="23" spans="1:26" x14ac:dyDescent="0.35">
      <c r="A23" s="71"/>
      <c r="B23" s="5"/>
      <c r="C23" s="94" t="s">
        <v>303</v>
      </c>
      <c r="D23" s="5"/>
      <c r="E23" s="62"/>
      <c r="F23" s="5"/>
      <c r="G23" s="5"/>
      <c r="H23" s="7"/>
      <c r="I23" s="4"/>
      <c r="J23" s="6"/>
      <c r="K23" s="4"/>
      <c r="L23" s="6"/>
      <c r="M23" s="4"/>
      <c r="N23" s="74" t="s">
        <v>140</v>
      </c>
      <c r="O23" s="280">
        <v>0.42</v>
      </c>
      <c r="P23" s="74" t="s">
        <v>116</v>
      </c>
      <c r="Q23" s="280">
        <v>1</v>
      </c>
      <c r="R23" s="74" t="s">
        <v>117</v>
      </c>
      <c r="S23" s="259">
        <v>1.87</v>
      </c>
      <c r="T23" s="4"/>
      <c r="U23" s="76"/>
      <c r="V23" s="38"/>
      <c r="X23" s="37" t="s">
        <v>204</v>
      </c>
      <c r="Y23" s="37" t="s">
        <v>205</v>
      </c>
      <c r="Z23" s="105">
        <v>0.51170000000000004</v>
      </c>
    </row>
    <row r="24" spans="1:26" ht="15" customHeight="1" x14ac:dyDescent="0.35">
      <c r="A24" s="71"/>
      <c r="B24" s="5"/>
      <c r="C24" s="94"/>
      <c r="D24" s="5"/>
      <c r="E24" s="62"/>
      <c r="F24" s="5"/>
      <c r="G24" s="5"/>
      <c r="H24" s="7"/>
      <c r="I24" s="4"/>
      <c r="J24" s="6"/>
      <c r="K24" s="4"/>
      <c r="L24" s="6"/>
      <c r="M24" s="4"/>
      <c r="N24" s="74" t="s">
        <v>118</v>
      </c>
      <c r="O24" s="280">
        <v>0.42</v>
      </c>
      <c r="P24" s="74" t="s">
        <v>119</v>
      </c>
      <c r="Q24" s="75">
        <v>0</v>
      </c>
      <c r="R24" s="74" t="s">
        <v>120</v>
      </c>
      <c r="S24" s="259">
        <v>1.47</v>
      </c>
      <c r="T24" s="4"/>
      <c r="U24" s="76"/>
      <c r="V24" s="38"/>
      <c r="X24" s="37" t="s">
        <v>206</v>
      </c>
      <c r="Y24" s="37" t="s">
        <v>207</v>
      </c>
      <c r="Z24" s="105">
        <v>0.3654</v>
      </c>
    </row>
    <row r="25" spans="1:26" x14ac:dyDescent="0.35">
      <c r="A25" s="71"/>
      <c r="B25" s="5"/>
      <c r="C25" s="5"/>
      <c r="D25" s="5"/>
      <c r="E25" s="62"/>
      <c r="F25" s="5"/>
      <c r="G25" s="5"/>
      <c r="H25" s="7"/>
      <c r="I25" s="4"/>
      <c r="J25" s="6"/>
      <c r="K25" s="4"/>
      <c r="L25" s="6"/>
      <c r="M25" s="4"/>
      <c r="N25" s="74" t="s">
        <v>121</v>
      </c>
      <c r="O25" s="75">
        <v>0</v>
      </c>
      <c r="P25" s="5"/>
      <c r="Q25" s="46"/>
      <c r="R25" s="74" t="s">
        <v>122</v>
      </c>
      <c r="S25" s="259">
        <v>2.08</v>
      </c>
      <c r="T25" s="4"/>
      <c r="U25" s="76"/>
      <c r="V25" s="38"/>
      <c r="X25" s="37" t="s">
        <v>208</v>
      </c>
      <c r="Y25" s="37" t="s">
        <v>209</v>
      </c>
      <c r="Z25" s="105">
        <v>0.48720000000000002</v>
      </c>
    </row>
    <row r="26" spans="1:26" x14ac:dyDescent="0.35">
      <c r="A26" s="71"/>
      <c r="B26" s="5"/>
      <c r="C26" s="5"/>
      <c r="D26" s="5"/>
      <c r="E26" s="62"/>
      <c r="F26" s="5"/>
      <c r="G26" s="5"/>
      <c r="H26" s="7"/>
      <c r="I26" s="4"/>
      <c r="J26" s="6"/>
      <c r="K26" s="4"/>
      <c r="L26" s="6"/>
      <c r="M26" s="4"/>
      <c r="N26" s="74" t="s">
        <v>119</v>
      </c>
      <c r="O26" s="75">
        <v>0</v>
      </c>
      <c r="P26" s="5"/>
      <c r="Q26" s="46"/>
      <c r="R26" s="74" t="s">
        <v>124</v>
      </c>
      <c r="S26" s="259">
        <v>1.1100000000000001</v>
      </c>
      <c r="T26" s="4"/>
      <c r="U26" s="76"/>
      <c r="V26" s="38"/>
      <c r="X26" s="37" t="s">
        <v>210</v>
      </c>
      <c r="Y26" s="37" t="s">
        <v>211</v>
      </c>
      <c r="Z26" s="105">
        <v>0.60909999999999997</v>
      </c>
    </row>
    <row r="27" spans="1:26" x14ac:dyDescent="0.35">
      <c r="A27" s="71"/>
      <c r="B27" s="5"/>
      <c r="C27" s="5"/>
      <c r="D27" s="5"/>
      <c r="E27" s="62"/>
      <c r="F27" s="5"/>
      <c r="G27" s="5"/>
      <c r="H27" s="7"/>
      <c r="I27" s="4"/>
      <c r="J27" s="6"/>
      <c r="K27" s="4"/>
      <c r="L27" s="6"/>
      <c r="M27" s="4"/>
      <c r="N27" s="5"/>
      <c r="O27" s="46"/>
      <c r="P27" s="5"/>
      <c r="Q27" s="46"/>
      <c r="R27" s="74" t="s">
        <v>125</v>
      </c>
      <c r="S27" s="259">
        <v>1.85</v>
      </c>
      <c r="T27" s="4"/>
      <c r="U27" s="76"/>
      <c r="V27" s="38"/>
      <c r="X27" s="37" t="s">
        <v>212</v>
      </c>
      <c r="Y27" s="37" t="s">
        <v>213</v>
      </c>
      <c r="Z27" s="105">
        <v>0.70650000000000002</v>
      </c>
    </row>
    <row r="28" spans="1:26" x14ac:dyDescent="0.35">
      <c r="A28" s="71"/>
      <c r="B28" s="5"/>
      <c r="C28" s="5"/>
      <c r="D28" s="5"/>
      <c r="E28" s="62"/>
      <c r="F28" s="5"/>
      <c r="G28" s="5"/>
      <c r="H28" s="7"/>
      <c r="I28" s="4"/>
      <c r="J28" s="6"/>
      <c r="K28" s="4"/>
      <c r="L28" s="6"/>
      <c r="M28" s="4"/>
      <c r="N28" s="5"/>
      <c r="O28" s="46"/>
      <c r="P28" s="5"/>
      <c r="Q28" s="46"/>
      <c r="R28" s="74" t="s">
        <v>126</v>
      </c>
      <c r="S28" s="259">
        <v>1.71</v>
      </c>
      <c r="T28" s="4"/>
      <c r="U28" s="76"/>
      <c r="V28" s="38"/>
      <c r="X28" s="37" t="s">
        <v>214</v>
      </c>
      <c r="Y28" s="37" t="s">
        <v>215</v>
      </c>
      <c r="Z28" s="105">
        <v>0.79190000000000005</v>
      </c>
    </row>
    <row r="29" spans="1:26" x14ac:dyDescent="0.35">
      <c r="A29" s="71"/>
      <c r="B29" s="5"/>
      <c r="C29" s="5"/>
      <c r="D29" s="5"/>
      <c r="E29" s="62"/>
      <c r="F29" s="5"/>
      <c r="G29" s="5"/>
      <c r="H29" s="7"/>
      <c r="I29" s="4"/>
      <c r="J29" s="6"/>
      <c r="K29" s="4"/>
      <c r="L29" s="6"/>
      <c r="M29" s="4"/>
      <c r="N29" s="5"/>
      <c r="O29" s="46"/>
      <c r="P29" s="5"/>
      <c r="Q29" s="46"/>
      <c r="R29" s="74" t="s">
        <v>127</v>
      </c>
      <c r="S29" s="259">
        <v>0.98</v>
      </c>
      <c r="T29" s="4"/>
      <c r="U29" s="76"/>
      <c r="V29" s="38"/>
      <c r="X29" s="37" t="s">
        <v>216</v>
      </c>
      <c r="Y29" s="37" t="s">
        <v>217</v>
      </c>
      <c r="Z29" s="105">
        <v>0.8528</v>
      </c>
    </row>
    <row r="30" spans="1:26" x14ac:dyDescent="0.35">
      <c r="A30" s="71"/>
      <c r="B30" s="5"/>
      <c r="C30" s="5"/>
      <c r="D30" s="5"/>
      <c r="E30" s="62"/>
      <c r="F30" s="5"/>
      <c r="G30" s="5"/>
      <c r="H30" s="7"/>
      <c r="I30" s="4"/>
      <c r="J30" s="6"/>
      <c r="K30" s="4"/>
      <c r="L30" s="6"/>
      <c r="M30" s="4"/>
      <c r="N30" s="5"/>
      <c r="O30" s="46"/>
      <c r="P30" s="5"/>
      <c r="Q30" s="46"/>
      <c r="R30" s="74" t="s">
        <v>128</v>
      </c>
      <c r="S30" s="259">
        <v>1.64</v>
      </c>
      <c r="T30" s="4"/>
      <c r="U30" s="76"/>
      <c r="V30" s="38"/>
      <c r="X30" s="37" t="s">
        <v>218</v>
      </c>
      <c r="Y30" s="37" t="s">
        <v>219</v>
      </c>
      <c r="Z30" s="105">
        <v>1.4254</v>
      </c>
    </row>
    <row r="31" spans="1:26" x14ac:dyDescent="0.35">
      <c r="A31" s="71"/>
      <c r="B31" s="5"/>
      <c r="C31" s="5"/>
      <c r="D31" s="5"/>
      <c r="E31" s="62"/>
      <c r="F31" s="5"/>
      <c r="G31" s="5"/>
      <c r="H31" s="7"/>
      <c r="I31" s="4"/>
      <c r="J31" s="6"/>
      <c r="K31" s="4"/>
      <c r="L31" s="6"/>
      <c r="M31" s="4"/>
      <c r="N31" s="5"/>
      <c r="O31" s="46"/>
      <c r="P31" s="5"/>
      <c r="Q31" s="46"/>
      <c r="R31" s="74" t="s">
        <v>129</v>
      </c>
      <c r="S31" s="259">
        <v>1.27</v>
      </c>
      <c r="T31" s="4"/>
      <c r="U31" s="76"/>
      <c r="V31" s="38"/>
      <c r="X31" s="37" t="s">
        <v>220</v>
      </c>
      <c r="Y31" s="37" t="s">
        <v>221</v>
      </c>
      <c r="Z31" s="105">
        <v>1.8517999999999999</v>
      </c>
    </row>
    <row r="32" spans="1:26" x14ac:dyDescent="0.35">
      <c r="A32" s="71"/>
      <c r="B32" s="5"/>
      <c r="C32" s="5"/>
      <c r="D32" s="5"/>
      <c r="E32" s="62"/>
      <c r="F32" s="5"/>
      <c r="G32" s="5"/>
      <c r="H32" s="7"/>
      <c r="I32" s="4"/>
      <c r="J32" s="6"/>
      <c r="K32" s="4"/>
      <c r="L32" s="6"/>
      <c r="M32" s="4"/>
      <c r="N32" s="5"/>
      <c r="O32" s="46"/>
      <c r="P32" s="5"/>
      <c r="Q32" s="46"/>
      <c r="R32" s="281" t="s">
        <v>130</v>
      </c>
      <c r="S32" s="282">
        <v>1.78</v>
      </c>
      <c r="T32" s="4"/>
      <c r="U32" s="76"/>
      <c r="V32" s="38"/>
      <c r="X32" s="37" t="s">
        <v>222</v>
      </c>
      <c r="Y32" s="37" t="s">
        <v>223</v>
      </c>
      <c r="Z32" s="105">
        <v>8.4301999999999992</v>
      </c>
    </row>
    <row r="33" spans="1:26" x14ac:dyDescent="0.35">
      <c r="A33" s="71"/>
      <c r="B33" s="5"/>
      <c r="C33" s="5"/>
      <c r="D33" s="5"/>
      <c r="E33" s="62"/>
      <c r="F33" s="5"/>
      <c r="G33" s="5"/>
      <c r="H33" s="7"/>
      <c r="I33" s="4"/>
      <c r="J33" s="6"/>
      <c r="K33" s="4"/>
      <c r="L33" s="6"/>
      <c r="M33" s="4"/>
      <c r="N33" s="5"/>
      <c r="O33" s="46"/>
      <c r="P33" s="5"/>
      <c r="Q33" s="46"/>
      <c r="R33" s="74" t="s">
        <v>131</v>
      </c>
      <c r="S33" s="259">
        <v>1.1599999999999999</v>
      </c>
      <c r="T33" s="4"/>
      <c r="U33" s="76"/>
      <c r="V33" s="38"/>
      <c r="X33" s="37" t="s">
        <v>224</v>
      </c>
      <c r="Y33" s="37" t="s">
        <v>225</v>
      </c>
      <c r="Z33" s="105">
        <v>6.4932999999999996</v>
      </c>
    </row>
    <row r="34" spans="1:26" x14ac:dyDescent="0.35">
      <c r="A34" s="71"/>
      <c r="B34" s="5"/>
      <c r="C34" s="5"/>
      <c r="D34" s="5"/>
      <c r="E34" s="62"/>
      <c r="F34" s="5"/>
      <c r="G34" s="5"/>
      <c r="H34" s="7"/>
      <c r="I34" s="4"/>
      <c r="J34" s="6"/>
      <c r="K34" s="4"/>
      <c r="L34" s="6"/>
      <c r="M34" s="4"/>
      <c r="N34" s="5"/>
      <c r="O34" s="46"/>
      <c r="P34" s="5"/>
      <c r="Q34" s="46"/>
      <c r="R34" s="74" t="s">
        <v>132</v>
      </c>
      <c r="S34" s="259">
        <v>1.59</v>
      </c>
      <c r="T34" s="4"/>
      <c r="U34" s="76"/>
      <c r="V34" s="38"/>
      <c r="X34" s="37" t="s">
        <v>226</v>
      </c>
      <c r="Y34" s="37" t="s">
        <v>227</v>
      </c>
      <c r="Z34" s="105">
        <v>6.9318</v>
      </c>
    </row>
    <row r="35" spans="1:26" x14ac:dyDescent="0.35">
      <c r="A35" s="71"/>
      <c r="B35" s="5"/>
      <c r="C35" s="5"/>
      <c r="D35" s="5"/>
      <c r="E35" s="62"/>
      <c r="F35" s="5"/>
      <c r="G35" s="5"/>
      <c r="H35" s="7"/>
      <c r="I35" s="4"/>
      <c r="J35" s="6"/>
      <c r="K35" s="4"/>
      <c r="L35" s="6"/>
      <c r="M35" s="4"/>
      <c r="N35" s="5"/>
      <c r="O35" s="46"/>
      <c r="P35" s="5"/>
      <c r="Q35" s="46"/>
      <c r="R35" s="74" t="s">
        <v>133</v>
      </c>
      <c r="S35" s="259">
        <v>3</v>
      </c>
      <c r="T35" s="4"/>
      <c r="U35" s="76"/>
      <c r="V35" s="38"/>
      <c r="X35" s="37" t="s">
        <v>228</v>
      </c>
      <c r="Y35" s="37" t="s">
        <v>229</v>
      </c>
      <c r="Z35" s="105">
        <v>8.2231000000000005</v>
      </c>
    </row>
    <row r="36" spans="1:26" ht="15" thickBot="1" x14ac:dyDescent="0.4">
      <c r="A36" s="71"/>
      <c r="B36" s="5"/>
      <c r="C36" s="5"/>
      <c r="D36" s="5"/>
      <c r="E36" s="62"/>
      <c r="F36" s="5"/>
      <c r="G36" s="5"/>
      <c r="H36" s="7"/>
      <c r="I36" s="4"/>
      <c r="J36" s="6"/>
      <c r="K36" s="4"/>
      <c r="L36" s="6"/>
      <c r="M36" s="4"/>
      <c r="N36" s="78"/>
      <c r="O36" s="83"/>
      <c r="P36" s="78"/>
      <c r="Q36" s="83"/>
      <c r="R36" s="84" t="s">
        <v>119</v>
      </c>
      <c r="S36" s="85">
        <v>0</v>
      </c>
      <c r="T36" s="4"/>
      <c r="U36" s="76"/>
      <c r="V36" s="38"/>
      <c r="X36" s="37" t="s">
        <v>230</v>
      </c>
      <c r="Y36" s="37" t="s">
        <v>231</v>
      </c>
      <c r="Z36" s="105">
        <v>7.7967000000000004</v>
      </c>
    </row>
    <row r="37" spans="1:26" ht="15" thickBot="1" x14ac:dyDescent="0.4">
      <c r="A37" s="77"/>
      <c r="B37" s="78"/>
      <c r="C37" s="78"/>
      <c r="D37" s="78"/>
      <c r="E37" s="79"/>
      <c r="F37" s="78"/>
      <c r="G37" s="78"/>
      <c r="H37" s="81"/>
      <c r="I37" s="82"/>
      <c r="J37" s="80"/>
      <c r="K37" s="82"/>
      <c r="L37" s="80"/>
      <c r="M37" s="82"/>
      <c r="N37" s="41"/>
      <c r="O37" s="41"/>
      <c r="P37" s="41"/>
      <c r="Q37" s="41"/>
      <c r="R37" s="41"/>
      <c r="S37" s="41"/>
      <c r="T37" s="78"/>
      <c r="U37" s="86"/>
      <c r="V37" s="38"/>
      <c r="X37" s="37" t="s">
        <v>232</v>
      </c>
      <c r="Y37" s="37" t="s">
        <v>233</v>
      </c>
      <c r="Z37" s="105">
        <v>8.6616999999999997</v>
      </c>
    </row>
    <row r="38" spans="1:26" x14ac:dyDescent="0.35">
      <c r="A38" s="41"/>
      <c r="B38" s="41"/>
      <c r="C38" s="39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35"/>
      <c r="O38" s="35"/>
      <c r="P38" s="35"/>
      <c r="Q38" s="35"/>
      <c r="R38" s="35"/>
      <c r="S38" s="35"/>
      <c r="T38" s="39"/>
      <c r="U38" s="39"/>
      <c r="X38" s="37" t="s">
        <v>234</v>
      </c>
      <c r="Y38" s="37" t="s">
        <v>235</v>
      </c>
      <c r="Z38" s="105">
        <v>9.5267999999999997</v>
      </c>
    </row>
    <row r="39" spans="1:26" x14ac:dyDescent="0.35"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26" x14ac:dyDescent="0.35"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26" x14ac:dyDescent="0.35"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</row>
    <row r="42" spans="1:26" x14ac:dyDescent="0.3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</row>
    <row r="43" spans="1:26" x14ac:dyDescent="0.35"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</row>
    <row r="44" spans="1:26" x14ac:dyDescent="0.35"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26" x14ac:dyDescent="0.35"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</row>
    <row r="46" spans="1:26" ht="19.5" customHeight="1" x14ac:dyDescent="0.35"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</row>
    <row r="47" spans="1:26" ht="18.5" customHeight="1" x14ac:dyDescent="0.35"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</row>
    <row r="48" spans="1:26" x14ac:dyDescent="0.35">
      <c r="A48" s="37" t="s">
        <v>145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</row>
    <row r="49" spans="1:19" x14ac:dyDescent="0.3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</row>
    <row r="50" spans="1:19" x14ac:dyDescent="0.35"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19" x14ac:dyDescent="0.35"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</row>
    <row r="52" spans="1:19" x14ac:dyDescent="0.35">
      <c r="E52" s="35"/>
      <c r="F52" s="35"/>
      <c r="G52" s="35"/>
      <c r="H52" s="35"/>
      <c r="I52" s="35"/>
      <c r="J52" s="35"/>
      <c r="K52" s="35"/>
      <c r="L52" s="35"/>
      <c r="M52" s="35"/>
    </row>
    <row r="53" spans="1:19" x14ac:dyDescent="0.35">
      <c r="C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19" x14ac:dyDescent="0.3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19" x14ac:dyDescent="0.3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 spans="1:19" x14ac:dyDescent="0.3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</row>
    <row r="57" spans="1:19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</row>
    <row r="58" spans="1:19" x14ac:dyDescent="0.3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 spans="1:19" x14ac:dyDescent="0.3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spans="1:19" x14ac:dyDescent="0.3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</row>
    <row r="61" spans="1:19" x14ac:dyDescent="0.3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</row>
    <row r="62" spans="1:19" x14ac:dyDescent="0.3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spans="1:19" x14ac:dyDescent="0.3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19" x14ac:dyDescent="0.3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x14ac:dyDescent="0.3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x14ac:dyDescent="0.3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x14ac:dyDescent="0.3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</row>
    <row r="68" spans="1:19" x14ac:dyDescent="0.3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</row>
    <row r="69" spans="1:19" x14ac:dyDescent="0.3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</row>
    <row r="70" spans="1:19" x14ac:dyDescent="0.3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</row>
    <row r="71" spans="1:19" x14ac:dyDescent="0.3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</row>
    <row r="72" spans="1:19" x14ac:dyDescent="0.3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</row>
    <row r="73" spans="1:19" x14ac:dyDescent="0.3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</row>
    <row r="74" spans="1:19" x14ac:dyDescent="0.3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</row>
    <row r="75" spans="1:19" x14ac:dyDescent="0.3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19" x14ac:dyDescent="0.3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7" spans="1:19" x14ac:dyDescent="0.3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1:19" x14ac:dyDescent="0.3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1:19" x14ac:dyDescent="0.3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1:19" x14ac:dyDescent="0.3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1:19" x14ac:dyDescent="0.3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</row>
    <row r="82" spans="1:19" x14ac:dyDescent="0.3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1:19" x14ac:dyDescent="0.3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1:19" x14ac:dyDescent="0.3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1:19" x14ac:dyDescent="0.3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1:19" x14ac:dyDescent="0.3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</row>
    <row r="87" spans="1:19" x14ac:dyDescent="0.3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</row>
    <row r="88" spans="1:19" x14ac:dyDescent="0.3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</row>
    <row r="89" spans="1:19" x14ac:dyDescent="0.3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</row>
    <row r="90" spans="1:19" x14ac:dyDescent="0.3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</row>
    <row r="91" spans="1:19" x14ac:dyDescent="0.3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</row>
    <row r="92" spans="1:19" x14ac:dyDescent="0.3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</row>
    <row r="93" spans="1:19" x14ac:dyDescent="0.3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</row>
    <row r="94" spans="1:19" x14ac:dyDescent="0.3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</row>
    <row r="95" spans="1:19" x14ac:dyDescent="0.3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</row>
    <row r="96" spans="1:19" x14ac:dyDescent="0.3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</row>
    <row r="97" spans="1:19" x14ac:dyDescent="0.3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</row>
    <row r="98" spans="1:19" x14ac:dyDescent="0.3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19" x14ac:dyDescent="0.3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</row>
    <row r="100" spans="1:19" x14ac:dyDescent="0.3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</row>
    <row r="101" spans="1:19" x14ac:dyDescent="0.3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</row>
    <row r="102" spans="1:19" x14ac:dyDescent="0.3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</row>
    <row r="103" spans="1:19" x14ac:dyDescent="0.3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</row>
    <row r="104" spans="1:19" x14ac:dyDescent="0.3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</row>
    <row r="105" spans="1:19" x14ac:dyDescent="0.3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</row>
    <row r="106" spans="1:19" x14ac:dyDescent="0.3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</row>
    <row r="107" spans="1:19" x14ac:dyDescent="0.3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</row>
    <row r="108" spans="1:19" x14ac:dyDescent="0.3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</row>
    <row r="109" spans="1:19" x14ac:dyDescent="0.3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</row>
    <row r="110" spans="1:19" x14ac:dyDescent="0.3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</row>
    <row r="111" spans="1:19" x14ac:dyDescent="0.3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</row>
    <row r="112" spans="1:19" x14ac:dyDescent="0.3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</row>
    <row r="113" spans="1:19" x14ac:dyDescent="0.3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</row>
    <row r="114" spans="1:19" x14ac:dyDescent="0.3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</row>
    <row r="115" spans="1:19" x14ac:dyDescent="0.3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</row>
    <row r="116" spans="1:19" x14ac:dyDescent="0.3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</row>
    <row r="117" spans="1:19" x14ac:dyDescent="0.3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</row>
    <row r="118" spans="1:19" x14ac:dyDescent="0.3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</row>
    <row r="119" spans="1:19" x14ac:dyDescent="0.3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</row>
    <row r="120" spans="1:19" x14ac:dyDescent="0.3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</row>
    <row r="121" spans="1:19" x14ac:dyDescent="0.3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</row>
    <row r="122" spans="1:19" x14ac:dyDescent="0.3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</row>
    <row r="123" spans="1:19" x14ac:dyDescent="0.3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</row>
    <row r="124" spans="1:19" x14ac:dyDescent="0.3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</row>
    <row r="125" spans="1:19" x14ac:dyDescent="0.3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</row>
    <row r="126" spans="1:19" x14ac:dyDescent="0.3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</row>
    <row r="127" spans="1:19" x14ac:dyDescent="0.3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</row>
    <row r="128" spans="1:19" x14ac:dyDescent="0.3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</row>
    <row r="129" spans="1:19" x14ac:dyDescent="0.3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</row>
    <row r="130" spans="1:19" x14ac:dyDescent="0.3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</row>
    <row r="131" spans="1:19" x14ac:dyDescent="0.3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</row>
    <row r="132" spans="1:19" x14ac:dyDescent="0.3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</row>
    <row r="133" spans="1:19" x14ac:dyDescent="0.3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</row>
    <row r="134" spans="1:19" x14ac:dyDescent="0.3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</row>
    <row r="135" spans="1:19" x14ac:dyDescent="0.3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</row>
    <row r="136" spans="1:19" x14ac:dyDescent="0.3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</row>
    <row r="137" spans="1:19" x14ac:dyDescent="0.3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</row>
    <row r="138" spans="1:19" x14ac:dyDescent="0.3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</row>
    <row r="139" spans="1:19" x14ac:dyDescent="0.3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</row>
    <row r="140" spans="1:19" x14ac:dyDescent="0.3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</row>
    <row r="141" spans="1:19" x14ac:dyDescent="0.3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</row>
    <row r="142" spans="1:19" x14ac:dyDescent="0.3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</row>
    <row r="143" spans="1:19" x14ac:dyDescent="0.3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</row>
    <row r="144" spans="1:19" x14ac:dyDescent="0.3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</row>
    <row r="145" spans="1:19" x14ac:dyDescent="0.3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</row>
    <row r="146" spans="1:19" x14ac:dyDescent="0.3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</row>
    <row r="147" spans="1:19" x14ac:dyDescent="0.3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</row>
    <row r="148" spans="1:19" x14ac:dyDescent="0.3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</row>
    <row r="149" spans="1:19" x14ac:dyDescent="0.3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</row>
    <row r="150" spans="1:19" x14ac:dyDescent="0.3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</row>
    <row r="151" spans="1:19" x14ac:dyDescent="0.3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</row>
    <row r="152" spans="1:19" x14ac:dyDescent="0.3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</row>
    <row r="153" spans="1:19" x14ac:dyDescent="0.3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</row>
    <row r="154" spans="1:19" x14ac:dyDescent="0.3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</row>
    <row r="155" spans="1:19" x14ac:dyDescent="0.3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</row>
    <row r="156" spans="1:19" x14ac:dyDescent="0.3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</row>
    <row r="157" spans="1:19" x14ac:dyDescent="0.3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</row>
    <row r="158" spans="1:19" x14ac:dyDescent="0.3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</row>
    <row r="159" spans="1:19" x14ac:dyDescent="0.3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</row>
    <row r="160" spans="1:19" x14ac:dyDescent="0.3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</row>
    <row r="161" spans="1:19" x14ac:dyDescent="0.3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</row>
    <row r="162" spans="1:19" x14ac:dyDescent="0.3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</row>
    <row r="163" spans="1:19" x14ac:dyDescent="0.3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</row>
    <row r="164" spans="1:19" x14ac:dyDescent="0.3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</row>
    <row r="165" spans="1:19" x14ac:dyDescent="0.3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</row>
    <row r="166" spans="1:19" x14ac:dyDescent="0.3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  <row r="167" spans="1:19" x14ac:dyDescent="0.3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</row>
    <row r="168" spans="1:19" x14ac:dyDescent="0.3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</row>
    <row r="169" spans="1:19" x14ac:dyDescent="0.3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</row>
    <row r="170" spans="1:19" x14ac:dyDescent="0.3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</row>
    <row r="171" spans="1:19" x14ac:dyDescent="0.3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</row>
    <row r="172" spans="1:19" x14ac:dyDescent="0.3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</row>
    <row r="173" spans="1:19" x14ac:dyDescent="0.3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</row>
    <row r="174" spans="1:19" x14ac:dyDescent="0.3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</row>
    <row r="175" spans="1:19" x14ac:dyDescent="0.3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</row>
    <row r="176" spans="1:19" x14ac:dyDescent="0.3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</row>
    <row r="177" spans="1:19" x14ac:dyDescent="0.3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</row>
    <row r="178" spans="1:19" x14ac:dyDescent="0.3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</row>
    <row r="179" spans="1:19" x14ac:dyDescent="0.3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</row>
    <row r="180" spans="1:19" x14ac:dyDescent="0.3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</row>
    <row r="181" spans="1:19" x14ac:dyDescent="0.3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</row>
    <row r="182" spans="1:19" x14ac:dyDescent="0.3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</row>
    <row r="183" spans="1:19" x14ac:dyDescent="0.3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</row>
    <row r="184" spans="1:19" x14ac:dyDescent="0.3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</row>
    <row r="185" spans="1:19" x14ac:dyDescent="0.3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</row>
    <row r="186" spans="1:19" x14ac:dyDescent="0.3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</row>
    <row r="187" spans="1:19" x14ac:dyDescent="0.3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</row>
    <row r="188" spans="1:19" x14ac:dyDescent="0.3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</row>
    <row r="189" spans="1:19" x14ac:dyDescent="0.3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</row>
    <row r="190" spans="1:19" x14ac:dyDescent="0.3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</row>
    <row r="191" spans="1:19" x14ac:dyDescent="0.3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</row>
    <row r="192" spans="1:19" x14ac:dyDescent="0.3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</row>
    <row r="193" spans="1:19" x14ac:dyDescent="0.3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</row>
    <row r="194" spans="1:19" x14ac:dyDescent="0.3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</row>
    <row r="195" spans="1:19" x14ac:dyDescent="0.3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</row>
    <row r="196" spans="1:19" x14ac:dyDescent="0.3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</row>
    <row r="197" spans="1:19" x14ac:dyDescent="0.3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</row>
    <row r="198" spans="1:19" x14ac:dyDescent="0.3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</row>
    <row r="199" spans="1:19" x14ac:dyDescent="0.3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</row>
    <row r="200" spans="1:19" x14ac:dyDescent="0.3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</row>
    <row r="201" spans="1:19" x14ac:dyDescent="0.3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</row>
    <row r="202" spans="1:19" x14ac:dyDescent="0.3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</row>
    <row r="203" spans="1:19" x14ac:dyDescent="0.3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</row>
    <row r="204" spans="1:19" x14ac:dyDescent="0.3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</row>
    <row r="205" spans="1:19" x14ac:dyDescent="0.3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</row>
    <row r="206" spans="1:19" x14ac:dyDescent="0.3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</row>
    <row r="207" spans="1:19" x14ac:dyDescent="0.3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</row>
    <row r="208" spans="1:19" x14ac:dyDescent="0.3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</row>
    <row r="209" spans="1:19" x14ac:dyDescent="0.3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</row>
    <row r="210" spans="1:19" x14ac:dyDescent="0.3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</row>
    <row r="211" spans="1:19" x14ac:dyDescent="0.3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</row>
    <row r="212" spans="1:19" x14ac:dyDescent="0.3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</row>
    <row r="213" spans="1:19" x14ac:dyDescent="0.3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</row>
    <row r="214" spans="1:19" x14ac:dyDescent="0.3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</row>
    <row r="215" spans="1:19" x14ac:dyDescent="0.3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</row>
    <row r="216" spans="1:19" x14ac:dyDescent="0.3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</row>
    <row r="217" spans="1:19" x14ac:dyDescent="0.3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</row>
    <row r="218" spans="1:19" x14ac:dyDescent="0.3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</row>
    <row r="219" spans="1:19" x14ac:dyDescent="0.3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</row>
    <row r="220" spans="1:19" x14ac:dyDescent="0.3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</row>
    <row r="221" spans="1:19" x14ac:dyDescent="0.3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</row>
    <row r="222" spans="1:19" x14ac:dyDescent="0.3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</row>
    <row r="223" spans="1:19" x14ac:dyDescent="0.3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</row>
    <row r="224" spans="1:19" x14ac:dyDescent="0.3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</row>
    <row r="225" spans="1:19" x14ac:dyDescent="0.3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</row>
    <row r="226" spans="1:19" x14ac:dyDescent="0.3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</row>
    <row r="227" spans="1:19" x14ac:dyDescent="0.3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</row>
    <row r="228" spans="1:19" x14ac:dyDescent="0.3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</row>
    <row r="229" spans="1:19" x14ac:dyDescent="0.3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</row>
    <row r="230" spans="1:19" x14ac:dyDescent="0.3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</row>
    <row r="231" spans="1:19" x14ac:dyDescent="0.3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</row>
    <row r="232" spans="1:19" x14ac:dyDescent="0.3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</row>
    <row r="233" spans="1:19" x14ac:dyDescent="0.3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</row>
    <row r="234" spans="1:19" x14ac:dyDescent="0.3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</row>
    <row r="235" spans="1:19" x14ac:dyDescent="0.3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</row>
    <row r="236" spans="1:19" x14ac:dyDescent="0.3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</row>
    <row r="237" spans="1:19" x14ac:dyDescent="0.3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</row>
    <row r="238" spans="1:19" x14ac:dyDescent="0.3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</row>
    <row r="239" spans="1:19" x14ac:dyDescent="0.3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</row>
    <row r="240" spans="1:19" x14ac:dyDescent="0.3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</row>
    <row r="241" spans="1:19" x14ac:dyDescent="0.3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</row>
    <row r="242" spans="1:19" x14ac:dyDescent="0.3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</row>
    <row r="243" spans="1:19" x14ac:dyDescent="0.3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</row>
    <row r="244" spans="1:19" x14ac:dyDescent="0.3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</row>
    <row r="245" spans="1:19" x14ac:dyDescent="0.3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</row>
    <row r="246" spans="1:19" x14ac:dyDescent="0.3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</row>
    <row r="247" spans="1:19" x14ac:dyDescent="0.3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</row>
    <row r="248" spans="1:19" x14ac:dyDescent="0.3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</row>
    <row r="249" spans="1:19" x14ac:dyDescent="0.3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</row>
    <row r="250" spans="1:19" x14ac:dyDescent="0.3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</row>
    <row r="251" spans="1:19" x14ac:dyDescent="0.3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</row>
    <row r="252" spans="1:19" x14ac:dyDescent="0.3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</row>
    <row r="253" spans="1:19" x14ac:dyDescent="0.3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</row>
    <row r="254" spans="1:19" x14ac:dyDescent="0.3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</row>
    <row r="255" spans="1:19" x14ac:dyDescent="0.3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</row>
    <row r="256" spans="1:19" x14ac:dyDescent="0.3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</row>
    <row r="257" spans="1:19" x14ac:dyDescent="0.3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</row>
    <row r="258" spans="1:19" x14ac:dyDescent="0.3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</row>
    <row r="259" spans="1:19" x14ac:dyDescent="0.3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</row>
    <row r="260" spans="1:19" x14ac:dyDescent="0.35">
      <c r="A260" s="35"/>
      <c r="B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</row>
  </sheetData>
  <sheetProtection selectLockedCells="1"/>
  <mergeCells count="1">
    <mergeCell ref="A1:E1"/>
  </mergeCells>
  <pageMargins left="0.7" right="0.7" top="0.75" bottom="0.75" header="0.3" footer="0.3"/>
  <pageSetup scale="1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I31"/>
  <sheetViews>
    <sheetView workbookViewId="0">
      <selection activeCell="G3" sqref="G3"/>
    </sheetView>
  </sheetViews>
  <sheetFormatPr defaultRowHeight="14.5" x14ac:dyDescent="0.35"/>
  <cols>
    <col min="1" max="1" width="18.26953125" customWidth="1"/>
    <col min="2" max="2" width="13.7265625" bestFit="1" customWidth="1"/>
    <col min="5" max="5" width="10.54296875" customWidth="1"/>
  </cols>
  <sheetData>
    <row r="1" spans="1:5" ht="15" thickBot="1" x14ac:dyDescent="0.4">
      <c r="A1" s="347" t="s">
        <v>4</v>
      </c>
      <c r="B1" s="348"/>
      <c r="C1" s="348"/>
      <c r="D1" s="348"/>
      <c r="E1" s="349"/>
    </row>
    <row r="2" spans="1:5" ht="15" thickBot="1" x14ac:dyDescent="0.4">
      <c r="A2" s="260" t="s">
        <v>310</v>
      </c>
      <c r="B2" s="3"/>
      <c r="C2" s="3"/>
      <c r="D2" s="3"/>
      <c r="E2" s="3"/>
    </row>
    <row r="3" spans="1:5" ht="58.5" thickBot="1" x14ac:dyDescent="0.4">
      <c r="A3" s="2"/>
      <c r="B3" s="264" t="s">
        <v>5</v>
      </c>
      <c r="C3" s="265" t="s">
        <v>6</v>
      </c>
      <c r="D3" s="265" t="s">
        <v>7</v>
      </c>
      <c r="E3" s="266" t="s">
        <v>8</v>
      </c>
    </row>
    <row r="4" spans="1:5" x14ac:dyDescent="0.35">
      <c r="A4" s="350" t="s">
        <v>9</v>
      </c>
      <c r="B4" s="267" t="s">
        <v>294</v>
      </c>
      <c r="C4" s="268">
        <v>1</v>
      </c>
      <c r="D4" s="268">
        <v>59</v>
      </c>
      <c r="E4" s="261">
        <v>134.4</v>
      </c>
    </row>
    <row r="5" spans="1:5" x14ac:dyDescent="0.35">
      <c r="A5" s="351"/>
      <c r="B5" s="269" t="s">
        <v>295</v>
      </c>
      <c r="C5" s="270">
        <v>60</v>
      </c>
      <c r="D5" s="270">
        <v>99</v>
      </c>
      <c r="E5" s="262">
        <v>130.02000000000001</v>
      </c>
    </row>
    <row r="6" spans="1:5" x14ac:dyDescent="0.35">
      <c r="A6" s="351"/>
      <c r="B6" s="269" t="s">
        <v>152</v>
      </c>
      <c r="C6" s="270">
        <v>100</v>
      </c>
      <c r="D6" s="270">
        <v>299</v>
      </c>
      <c r="E6" s="262">
        <v>106.38</v>
      </c>
    </row>
    <row r="7" spans="1:5" x14ac:dyDescent="0.35">
      <c r="A7" s="351"/>
      <c r="B7" s="269" t="s">
        <v>153</v>
      </c>
      <c r="C7" s="270">
        <v>300</v>
      </c>
      <c r="D7" s="270">
        <v>399</v>
      </c>
      <c r="E7" s="262">
        <v>88.65</v>
      </c>
    </row>
    <row r="8" spans="1:5" x14ac:dyDescent="0.35">
      <c r="A8" s="351"/>
      <c r="B8" s="269" t="s">
        <v>146</v>
      </c>
      <c r="C8" s="270">
        <v>400</v>
      </c>
      <c r="D8" s="270">
        <v>699</v>
      </c>
      <c r="E8" s="262">
        <v>82.74</v>
      </c>
    </row>
    <row r="9" spans="1:5" ht="15" thickBot="1" x14ac:dyDescent="0.4">
      <c r="A9" s="352"/>
      <c r="B9" s="269" t="s">
        <v>11</v>
      </c>
      <c r="C9" s="270">
        <v>700</v>
      </c>
      <c r="D9" s="270"/>
      <c r="E9" s="262">
        <v>78.069999999999993</v>
      </c>
    </row>
    <row r="10" spans="1:5" x14ac:dyDescent="0.35">
      <c r="A10" s="350" t="s">
        <v>12</v>
      </c>
      <c r="B10" s="267" t="s">
        <v>13</v>
      </c>
      <c r="C10" s="268">
        <v>0</v>
      </c>
      <c r="D10" s="271">
        <v>9999</v>
      </c>
      <c r="E10" s="261">
        <v>78.069999999999993</v>
      </c>
    </row>
    <row r="11" spans="1:5" x14ac:dyDescent="0.35">
      <c r="A11" s="351"/>
      <c r="B11" s="269" t="s">
        <v>147</v>
      </c>
      <c r="C11" s="272">
        <v>10000</v>
      </c>
      <c r="D11" s="272">
        <v>19999</v>
      </c>
      <c r="E11" s="262">
        <v>70.319999999999993</v>
      </c>
    </row>
    <row r="12" spans="1:5" ht="15" thickBot="1" x14ac:dyDescent="0.4">
      <c r="A12" s="352"/>
      <c r="B12" s="273" t="s">
        <v>14</v>
      </c>
      <c r="C12" s="274">
        <v>20000</v>
      </c>
      <c r="D12" s="274">
        <v>999999</v>
      </c>
      <c r="E12" s="263">
        <v>65.010000000000005</v>
      </c>
    </row>
    <row r="13" spans="1:5" x14ac:dyDescent="0.35">
      <c r="A13" s="344" t="s">
        <v>15</v>
      </c>
      <c r="B13" s="267" t="s">
        <v>10</v>
      </c>
      <c r="C13" s="268">
        <v>1</v>
      </c>
      <c r="D13" s="268">
        <v>99</v>
      </c>
      <c r="E13" s="261">
        <v>157.79</v>
      </c>
    </row>
    <row r="14" spans="1:5" x14ac:dyDescent="0.35">
      <c r="A14" s="345"/>
      <c r="B14" s="269" t="s">
        <v>154</v>
      </c>
      <c r="C14" s="270">
        <v>100</v>
      </c>
      <c r="D14" s="270">
        <v>249</v>
      </c>
      <c r="E14" s="262">
        <v>106.38</v>
      </c>
    </row>
    <row r="15" spans="1:5" x14ac:dyDescent="0.35">
      <c r="A15" s="345"/>
      <c r="B15" s="269" t="s">
        <v>155</v>
      </c>
      <c r="C15" s="270">
        <v>250</v>
      </c>
      <c r="D15" s="270">
        <v>399</v>
      </c>
      <c r="E15" s="262">
        <v>88.65</v>
      </c>
    </row>
    <row r="16" spans="1:5" x14ac:dyDescent="0.35">
      <c r="A16" s="345"/>
      <c r="B16" s="269" t="s">
        <v>146</v>
      </c>
      <c r="C16" s="270">
        <v>400</v>
      </c>
      <c r="D16" s="270">
        <v>699</v>
      </c>
      <c r="E16" s="262">
        <v>82.74</v>
      </c>
    </row>
    <row r="17" spans="1:9" ht="15" thickBot="1" x14ac:dyDescent="0.4">
      <c r="A17" s="346"/>
      <c r="B17" s="273" t="s">
        <v>11</v>
      </c>
      <c r="C17" s="275">
        <v>700</v>
      </c>
      <c r="D17" s="274">
        <v>999999</v>
      </c>
      <c r="E17" s="263">
        <v>78.069999999999993</v>
      </c>
    </row>
    <row r="18" spans="1:9" x14ac:dyDescent="0.35">
      <c r="A18" s="344" t="s">
        <v>296</v>
      </c>
      <c r="B18" s="267" t="s">
        <v>10</v>
      </c>
      <c r="C18" s="268">
        <v>1</v>
      </c>
      <c r="D18" s="268">
        <v>99</v>
      </c>
      <c r="E18" s="261">
        <v>165.69</v>
      </c>
    </row>
    <row r="19" spans="1:9" x14ac:dyDescent="0.35">
      <c r="A19" s="345"/>
      <c r="B19" s="269" t="s">
        <v>154</v>
      </c>
      <c r="C19" s="270">
        <v>100</v>
      </c>
      <c r="D19" s="270">
        <v>249</v>
      </c>
      <c r="E19" s="262">
        <v>111.7</v>
      </c>
    </row>
    <row r="20" spans="1:9" x14ac:dyDescent="0.35">
      <c r="A20" s="345"/>
      <c r="B20" s="269" t="s">
        <v>155</v>
      </c>
      <c r="C20" s="270">
        <v>250</v>
      </c>
      <c r="D20" s="270">
        <v>399</v>
      </c>
      <c r="E20" s="262">
        <v>93.08</v>
      </c>
    </row>
    <row r="21" spans="1:9" x14ac:dyDescent="0.35">
      <c r="A21" s="345"/>
      <c r="B21" s="269" t="s">
        <v>146</v>
      </c>
      <c r="C21" s="270">
        <v>400</v>
      </c>
      <c r="D21" s="270">
        <v>699</v>
      </c>
      <c r="E21" s="262">
        <v>86.88</v>
      </c>
    </row>
    <row r="22" spans="1:9" ht="15" thickBot="1" x14ac:dyDescent="0.4">
      <c r="A22" s="346"/>
      <c r="B22" s="273" t="s">
        <v>11</v>
      </c>
      <c r="C22" s="275">
        <v>700</v>
      </c>
      <c r="D22" s="274">
        <v>999999</v>
      </c>
      <c r="E22" s="263">
        <v>81.97</v>
      </c>
    </row>
    <row r="23" spans="1:9" x14ac:dyDescent="0.35">
      <c r="A23" s="350" t="s">
        <v>16</v>
      </c>
      <c r="B23" s="267" t="s">
        <v>10</v>
      </c>
      <c r="C23" s="268">
        <v>0</v>
      </c>
      <c r="D23" s="268">
        <v>99</v>
      </c>
      <c r="E23" s="261">
        <v>153.65</v>
      </c>
    </row>
    <row r="24" spans="1:9" x14ac:dyDescent="0.35">
      <c r="A24" s="351"/>
      <c r="B24" s="269" t="s">
        <v>148</v>
      </c>
      <c r="C24" s="270">
        <v>100</v>
      </c>
      <c r="D24" s="270">
        <v>374</v>
      </c>
      <c r="E24" s="262">
        <v>112.29</v>
      </c>
    </row>
    <row r="25" spans="1:9" x14ac:dyDescent="0.35">
      <c r="A25" s="351"/>
      <c r="B25" s="269" t="s">
        <v>149</v>
      </c>
      <c r="C25" s="270">
        <v>375</v>
      </c>
      <c r="D25" s="270">
        <v>699</v>
      </c>
      <c r="E25" s="262">
        <v>82.74</v>
      </c>
    </row>
    <row r="26" spans="1:9" x14ac:dyDescent="0.35">
      <c r="A26" s="351"/>
      <c r="B26" s="269" t="s">
        <v>150</v>
      </c>
      <c r="C26" s="270">
        <v>700</v>
      </c>
      <c r="D26" s="272">
        <v>3999</v>
      </c>
      <c r="E26" s="262">
        <v>78.069999999999993</v>
      </c>
    </row>
    <row r="27" spans="1:9" ht="15" thickBot="1" x14ac:dyDescent="0.4">
      <c r="A27" s="352"/>
      <c r="B27" s="273" t="s">
        <v>17</v>
      </c>
      <c r="C27" s="274">
        <v>4000</v>
      </c>
      <c r="D27" s="274">
        <v>999999</v>
      </c>
      <c r="E27" s="263">
        <v>65.010000000000005</v>
      </c>
    </row>
    <row r="28" spans="1:9" x14ac:dyDescent="0.35">
      <c r="A28" s="344" t="s">
        <v>18</v>
      </c>
      <c r="B28" s="267" t="s">
        <v>10</v>
      </c>
      <c r="C28" s="268">
        <v>1</v>
      </c>
      <c r="D28" s="268">
        <v>99</v>
      </c>
      <c r="E28" s="261">
        <v>236.4</v>
      </c>
    </row>
    <row r="29" spans="1:9" x14ac:dyDescent="0.35">
      <c r="A29" s="345"/>
      <c r="B29" s="269" t="s">
        <v>148</v>
      </c>
      <c r="C29" s="270">
        <v>100</v>
      </c>
      <c r="D29" s="270">
        <v>374</v>
      </c>
      <c r="E29" s="262">
        <v>112.29</v>
      </c>
      <c r="I29" s="307"/>
    </row>
    <row r="30" spans="1:9" x14ac:dyDescent="0.35">
      <c r="A30" s="345"/>
      <c r="B30" s="269" t="s">
        <v>149</v>
      </c>
      <c r="C30" s="270">
        <v>375</v>
      </c>
      <c r="D30" s="270">
        <v>699</v>
      </c>
      <c r="E30" s="262">
        <v>82.74</v>
      </c>
      <c r="I30" s="307"/>
    </row>
    <row r="31" spans="1:9" ht="15" thickBot="1" x14ac:dyDescent="0.4">
      <c r="A31" s="346"/>
      <c r="B31" s="273" t="s">
        <v>11</v>
      </c>
      <c r="C31" s="275">
        <v>700</v>
      </c>
      <c r="D31" s="274">
        <v>999999</v>
      </c>
      <c r="E31" s="263">
        <v>78.069999999999993</v>
      </c>
    </row>
  </sheetData>
  <mergeCells count="7">
    <mergeCell ref="A28:A31"/>
    <mergeCell ref="A1:E1"/>
    <mergeCell ref="A4:A9"/>
    <mergeCell ref="A10:A12"/>
    <mergeCell ref="A13:A17"/>
    <mergeCell ref="A23:A27"/>
    <mergeCell ref="A18:A2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864FEB53B0E041A76A17CD43A04A28" ma:contentTypeVersion="12" ma:contentTypeDescription="Create a new document." ma:contentTypeScope="" ma:versionID="7c291c737c96d08465abbe33907c4207">
  <xsd:schema xmlns:xsd="http://www.w3.org/2001/XMLSchema" xmlns:xs="http://www.w3.org/2001/XMLSchema" xmlns:p="http://schemas.microsoft.com/office/2006/metadata/properties" xmlns:ns3="3ed7015c-3088-4573-a2b5-1c16df166eeb" xmlns:ns4="b7bfb68b-a3bb-4a28-a4e0-f34ef2d57dd6" targetNamespace="http://schemas.microsoft.com/office/2006/metadata/properties" ma:root="true" ma:fieldsID="b9f1bf64bc49e56f7739d8f34b988bd1" ns3:_="" ns4:_="">
    <xsd:import namespace="3ed7015c-3088-4573-a2b5-1c16df166eeb"/>
    <xsd:import namespace="b7bfb68b-a3bb-4a28-a4e0-f34ef2d57d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d7015c-3088-4573-a2b5-1c16df166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fb68b-a3bb-4a28-a4e0-f34ef2d57d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2D2F01-3106-4E6F-9C5A-3EEB74FA6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475C51-9891-4F15-A920-158A6ECE9227}">
  <ds:schemaRefs>
    <ds:schemaRef ds:uri="http://www.w3.org/XML/1998/namespace"/>
    <ds:schemaRef ds:uri="http://purl.org/dc/terms/"/>
    <ds:schemaRef ds:uri="http://purl.org/dc/elements/1.1/"/>
    <ds:schemaRef ds:uri="3ed7015c-3088-4573-a2b5-1c16df166eeb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7bfb68b-a3bb-4a28-a4e0-f34ef2d57dd6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891F1B4-C60A-47D6-AE4E-FFD0CE088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d7015c-3088-4573-a2b5-1c16df166eeb"/>
    <ds:schemaRef ds:uri="b7bfb68b-a3bb-4a28-a4e0-f34ef2d57d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47bd66b-8ec9-49c3-9303-3d0dda12b054}" enabled="0" method="" siteId="{447bd66b-8ec9-49c3-9303-3d0dda12b05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20</vt:i4>
      </vt:variant>
    </vt:vector>
  </HeadingPairs>
  <TitlesOfParts>
    <vt:vector size="24" baseType="lpstr">
      <vt:lpstr>Trial Pricing Calculator</vt:lpstr>
      <vt:lpstr>Calculations</vt:lpstr>
      <vt:lpstr>Rates</vt:lpstr>
      <vt:lpstr>SRP</vt:lpstr>
      <vt:lpstr>Beer</vt:lpstr>
      <vt:lpstr>Canada</vt:lpstr>
      <vt:lpstr>CanadaF</vt:lpstr>
      <vt:lpstr>Certificate_of_Origin</vt:lpstr>
      <vt:lpstr>Currency_MBLL</vt:lpstr>
      <vt:lpstr>Currency_Private</vt:lpstr>
      <vt:lpstr>Freight</vt:lpstr>
      <vt:lpstr>International</vt:lpstr>
      <vt:lpstr>InternationalF</vt:lpstr>
      <vt:lpstr>MBLL_Product_Category</vt:lpstr>
      <vt:lpstr>Private_Distribution</vt:lpstr>
      <vt:lpstr>Private_Distribution_Beer</vt:lpstr>
      <vt:lpstr>Private_Distribution_RTD</vt:lpstr>
      <vt:lpstr>Private_Product_Category</vt:lpstr>
      <vt:lpstr>Ready_to_Drink</vt:lpstr>
      <vt:lpstr>Ready_to_Drink_Private</vt:lpstr>
      <vt:lpstr>Select</vt:lpstr>
      <vt:lpstr>Spirit</vt:lpstr>
      <vt:lpstr>USA</vt:lpstr>
      <vt:lpstr>Wine</vt:lpstr>
    </vt:vector>
  </TitlesOfParts>
  <Company>Manitoba Liquor &amp; Lotteries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Figler</dc:creator>
  <cp:lastModifiedBy>Jocelyn Santiago</cp:lastModifiedBy>
  <cp:lastPrinted>2023-03-24T16:01:08Z</cp:lastPrinted>
  <dcterms:created xsi:type="dcterms:W3CDTF">2017-01-25T15:18:40Z</dcterms:created>
  <dcterms:modified xsi:type="dcterms:W3CDTF">2025-08-28T19:12:40Z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0x0101002D864FEB53B0E041A76A17CD43A04A28</vt:lpwstr>
  </property>
</Properties>
</file>