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CALCULATORS/"/>
    </mc:Choice>
  </mc:AlternateContent>
  <xr:revisionPtr revIDLastSave="1177" documentId="8_{7A49C7C8-6FA9-4199-9350-52E753C613E2}" xr6:coauthVersionLast="47" xr6:coauthVersionMax="47" xr10:uidLastSave="{5DB4E637-A272-480A-A276-22CE9609932D}"/>
  <workbookProtection workbookAlgorithmName="SHA-512" workbookHashValue="iWZeha4X5Ktoni4HxwfwBY4y7K59rCVv3ALGUvtUNqO/PN370Nx15pPl3UpahZnkbOWY6PshIfFH2/VAikWWjw==" workbookSaltValue="AJram5kghPNrN3b5FlUcdg==" workbookSpinCount="100000" lockStructure="1"/>
  <bookViews>
    <workbookView xWindow="-28910" yWindow="-110" windowWidth="29020" windowHeight="15820" tabRatio="847" xr2:uid="{00000000-000D-0000-FFFF-FFFF00000000}"/>
  </bookViews>
  <sheets>
    <sheet name="Trial Pricing Calculator" sheetId="9" r:id="rId1"/>
    <sheet name="Calculations" sheetId="1" state="hidden" r:id="rId2"/>
    <sheet name="Rates" sheetId="7" state="hidden" r:id="rId3"/>
    <sheet name="SRP" sheetId="6" state="hidden" r:id="rId4"/>
  </sheets>
  <definedNames>
    <definedName name="Beer">Rates!$E$4</definedName>
    <definedName name="Canada">Rates!$N$6:$N$26</definedName>
    <definedName name="CanadaF">Rates!$I$6:$I$7</definedName>
    <definedName name="Certificate_of_Origin">Rates!$F$4:$F$5</definedName>
    <definedName name="Currency_MBLL">Rates!$K$6:$K$12</definedName>
    <definedName name="Currency_Private">Rates!$K$15</definedName>
    <definedName name="Freight">Rates!$M$6:$M$8</definedName>
    <definedName name="International">Rates!$R$6:$R$36</definedName>
    <definedName name="InternationalF">Rates!$J$6</definedName>
    <definedName name="MBLL_Product_Category">Rates!$A$4:$A$7</definedName>
    <definedName name="Private_Distribution">Rates!$I$11</definedName>
    <definedName name="Private_Distribution_Beer">Rates!$I$11:$I$13</definedName>
    <definedName name="Private_Distribution_RTD">Rates!$I$17:$I$18</definedName>
    <definedName name="Private_Product_Category">Rates!$A$19:$A$20</definedName>
    <definedName name="Ready_to_Drink">Rates!$D$4:$D$9</definedName>
    <definedName name="Ready_to_Drink_Private">Rates!$C$19:$C$23</definedName>
    <definedName name="Select">Rates!$E$19:$E$20</definedName>
    <definedName name="Spirit">Rates!$B$4:$B$11</definedName>
    <definedName name="USA">Rates!$P$6:$P$24</definedName>
    <definedName name="Wine">Rates!$C$4:$C$7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9" l="1"/>
  <c r="K14" i="9"/>
  <c r="K13" i="1" l="1"/>
  <c r="T13" i="1"/>
  <c r="T14" i="1"/>
  <c r="K37" i="1" a="1"/>
  <c r="K37" i="1" s="1"/>
  <c r="R14" i="1" l="1"/>
  <c r="R13" i="1"/>
  <c r="X13" i="1" l="1"/>
  <c r="X5" i="1"/>
  <c r="X4" i="1"/>
  <c r="W22" i="1"/>
  <c r="X22" i="1" s="1"/>
  <c r="W21" i="1"/>
  <c r="X21" i="1" s="1"/>
  <c r="X18" i="1"/>
  <c r="X17" i="1"/>
  <c r="X14" i="1"/>
  <c r="X12" i="1"/>
  <c r="X9" i="1"/>
  <c r="X8" i="1"/>
  <c r="B9" i="1" l="1"/>
  <c r="D22" i="9" l="1"/>
  <c r="K18" i="9"/>
  <c r="L18" i="9" s="1"/>
  <c r="K40" i="9" l="1"/>
  <c r="D33" i="9"/>
  <c r="D32" i="9"/>
  <c r="D18" i="9"/>
  <c r="A39" i="1" l="1"/>
  <c r="B39" i="1" l="1"/>
  <c r="D47" i="1"/>
  <c r="E47" i="1" s="1"/>
  <c r="F43" i="1"/>
  <c r="D29" i="9"/>
  <c r="D20" i="9"/>
  <c r="B11" i="1"/>
  <c r="D23" i="9"/>
  <c r="K24" i="9" l="1"/>
  <c r="B4" i="1"/>
  <c r="D17" i="9"/>
  <c r="K38" i="9" l="1"/>
  <c r="F47" i="1" l="1"/>
  <c r="K20" i="9"/>
  <c r="D26" i="9"/>
  <c r="D28" i="9"/>
  <c r="D21" i="9" l="1"/>
  <c r="K25" i="9" l="1"/>
  <c r="B12" i="1" l="1"/>
  <c r="K23" i="9" l="1"/>
  <c r="B10" i="1"/>
  <c r="B7" i="1"/>
  <c r="B6" i="1"/>
  <c r="L25" i="9" s="1"/>
  <c r="B5" i="1"/>
  <c r="D27" i="9"/>
  <c r="K17" i="9"/>
  <c r="K16" i="9"/>
  <c r="K15" i="9"/>
  <c r="K22" i="9"/>
  <c r="K21" i="9"/>
  <c r="D24" i="9"/>
  <c r="D16" i="9"/>
  <c r="D15" i="9"/>
  <c r="D14" i="9"/>
  <c r="D7" i="1" l="1"/>
  <c r="J13" i="1"/>
  <c r="N13" i="1"/>
  <c r="H28" i="1" s="1"/>
  <c r="M13" i="1"/>
  <c r="H34" i="1"/>
  <c r="L13" i="1"/>
  <c r="F7" i="1"/>
  <c r="F13" i="1"/>
  <c r="D13" i="1"/>
  <c r="G13" i="1"/>
  <c r="E13" i="1"/>
  <c r="B8" i="1"/>
  <c r="K24" i="1" s="1"/>
  <c r="L24" i="9"/>
  <c r="B64" i="1" s="1"/>
  <c r="B21" i="1"/>
  <c r="E19" i="1"/>
  <c r="F4" i="1"/>
  <c r="E4" i="1"/>
  <c r="G7" i="1"/>
  <c r="D19" i="1"/>
  <c r="L15" i="9"/>
  <c r="B56" i="1" s="1"/>
  <c r="E7" i="1"/>
  <c r="G19" i="1"/>
  <c r="F19" i="1"/>
  <c r="G16" i="1"/>
  <c r="D16" i="1"/>
  <c r="E16" i="1"/>
  <c r="F16" i="1"/>
  <c r="C39" i="1" l="1"/>
  <c r="L24" i="1"/>
  <c r="K22" i="1"/>
  <c r="J22" i="1"/>
  <c r="D4" i="1"/>
  <c r="L16" i="9" s="1"/>
  <c r="B57" i="1" s="1"/>
  <c r="M22" i="1"/>
  <c r="L22" i="9"/>
  <c r="B62" i="1" s="1"/>
  <c r="L22" i="1"/>
  <c r="L17" i="9"/>
  <c r="B58" i="1" s="1"/>
  <c r="L23" i="9"/>
  <c r="B63" i="1" s="1"/>
  <c r="H47" i="1"/>
  <c r="L21" i="9"/>
  <c r="B61" i="1" l="1"/>
  <c r="E43" i="1"/>
  <c r="E40" i="9"/>
  <c r="D34" i="1"/>
  <c r="H43" i="1" l="1"/>
  <c r="G43" i="1" s="1"/>
  <c r="B43" i="1" s="1"/>
  <c r="C43" i="1" l="1"/>
  <c r="A43" i="1" s="1"/>
  <c r="D43" i="1" l="1"/>
  <c r="G47" i="1" l="1"/>
  <c r="B47" i="1" s="1"/>
  <c r="C47" i="1" s="1"/>
  <c r="A47" i="1" s="1"/>
  <c r="B18" i="1" s="1"/>
  <c r="N10" i="1" l="1"/>
  <c r="N5" i="1" s="1"/>
  <c r="B15" i="1" l="1"/>
  <c r="E33" i="9" l="1"/>
  <c r="B28" i="1" l="1"/>
  <c r="E28" i="1" s="1"/>
  <c r="F28" i="1" s="1"/>
  <c r="G28" i="1" s="1"/>
  <c r="D28" i="1" l="1"/>
  <c r="B17" i="1" s="1"/>
  <c r="E38" i="9" l="1"/>
  <c r="G32" i="1"/>
  <c r="F32" i="1" s="1"/>
  <c r="D32" i="1" l="1"/>
  <c r="E32" i="1" s="1"/>
  <c r="C32" i="1" s="1"/>
  <c r="H32" i="1" l="1"/>
  <c r="I34" i="1" s="1"/>
  <c r="I32" i="1" s="1"/>
  <c r="B19" i="1" s="1"/>
  <c r="L38" i="9" s="1"/>
  <c r="A32" i="1"/>
  <c r="B3" i="1" s="1"/>
  <c r="B32" i="1" l="1"/>
  <c r="A28" i="1"/>
  <c r="L40" i="9"/>
  <c r="L13" i="9" s="1"/>
  <c r="L14" i="9"/>
  <c r="B13" i="1" l="1"/>
  <c r="L10" i="1" s="1"/>
  <c r="L5" i="1" s="1"/>
  <c r="F10" i="1" s="1"/>
  <c r="B55" i="1"/>
  <c r="K10" i="1" l="1"/>
  <c r="K5" i="1" s="1"/>
  <c r="E10" i="1" s="1"/>
  <c r="M10" i="1"/>
  <c r="M5" i="1" s="1"/>
  <c r="G10" i="1" s="1"/>
  <c r="J10" i="1"/>
  <c r="J5" i="1" s="1"/>
  <c r="D10" i="1" s="1"/>
  <c r="C28" i="1" l="1"/>
  <c r="L20" i="9"/>
  <c r="B60" i="1" s="1"/>
  <c r="B65" i="1" s="1"/>
  <c r="E39" i="1" l="1"/>
  <c r="G39" i="1" s="1"/>
  <c r="D39" i="1" s="1"/>
  <c r="F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<sst xmlns="http://schemas.openxmlformats.org/spreadsheetml/2006/main" count="479" uniqueCount="312">
  <si>
    <t>Minimum Markup</t>
  </si>
  <si>
    <t>Surcharge</t>
  </si>
  <si>
    <t>Can</t>
  </si>
  <si>
    <t>Bottle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</si>
  <si>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</si>
  <si>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</si>
  <si>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</si>
  <si>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</si>
  <si>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</si>
  <si>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</si>
  <si>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</si>
  <si>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</si>
  <si>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</si>
  <si>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</si>
  <si>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</si>
  <si>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</si>
  <si>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</si>
  <si>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</si>
  <si>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</si>
  <si>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</si>
  <si>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</si>
  <si>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</si>
  <si>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</si>
  <si>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</si>
  <si>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</si>
  <si>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</si>
  <si>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</si>
  <si>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</si>
  <si>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</si>
  <si>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</si>
  <si>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</si>
  <si>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</si>
  <si>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</si>
  <si>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</si>
  <si>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</si>
  <si>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</si>
  <si>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</si>
  <si>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</si>
  <si>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</si>
  <si>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</si>
  <si>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</si>
  <si>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</si>
  <si>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</si>
  <si>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</si>
  <si>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</si>
  <si>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</si>
  <si>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</si>
  <si>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</si>
  <si>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</si>
  <si>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</si>
  <si>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</si>
  <si>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</si>
  <si>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</si>
  <si>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</si>
  <si>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</si>
  <si>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</si>
  <si>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</si>
  <si>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</si>
  <si>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</si>
  <si>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</si>
  <si>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</si>
  <si>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</si>
  <si>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</si>
  <si>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</si>
  <si>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</si>
  <si>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</si>
  <si>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</si>
  <si>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</si>
  <si>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</si>
  <si>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</si>
  <si>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</si>
  <si>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</si>
  <si>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</si>
  <si>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</si>
  <si>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</si>
  <si>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</si>
  <si>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</si>
  <si>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</si>
  <si>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</si>
  <si>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</si>
  <si>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</si>
  <si>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</si>
  <si>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</si>
  <si>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</si>
  <si>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</si>
  <si>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</si>
  <si>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</si>
  <si>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</si>
  <si>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</si>
  <si>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</si>
  <si>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</si>
  <si>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</si>
  <si>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</si>
  <si>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</si>
  <si>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</si>
  <si>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</si>
  <si>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</si>
  <si>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</si>
  <si>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</si>
  <si>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</si>
  <si>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</si>
  <si>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</si>
  <si>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</si>
  <si>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</si>
  <si>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</si>
  <si>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</si>
  <si>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</si>
  <si>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</si>
  <si>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</si>
  <si>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</si>
  <si>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</si>
  <si>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</si>
  <si>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</si>
  <si>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</si>
  <si>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</si>
  <si>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</si>
  <si>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</si>
  <si>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</si>
  <si>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</si>
  <si>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</si>
  <si>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</si>
  <si>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</si>
  <si>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</si>
  <si>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</si>
  <si>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</si>
  <si>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</si>
  <si>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</si>
  <si>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</si>
  <si>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</si>
  <si>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</si>
  <si>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</si>
  <si>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</si>
  <si>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</si>
  <si>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</si>
  <si>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</si>
  <si>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</si>
  <si>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</si>
  <si>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</si>
  <si>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</si>
  <si>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</si>
  <si>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</si>
  <si>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</si>
  <si>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</si>
  <si>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</si>
  <si>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</si>
  <si>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</si>
  <si>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</si>
  <si>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</si>
  <si>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</si>
  <si>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</si>
  <si>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</si>
  <si>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Units per Case</t>
  </si>
  <si>
    <t>100-299 mL</t>
  </si>
  <si>
    <t>300-399 mL</t>
  </si>
  <si>
    <t>100-249 mL</t>
  </si>
  <si>
    <t>250-399 mL</t>
  </si>
  <si>
    <t>Social Reference Price (SRP)</t>
  </si>
  <si>
    <t>Description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</si>
  <si>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</si>
  <si>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</si>
  <si>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</si>
  <si>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</si>
  <si>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</si>
  <si>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</si>
  <si>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</si>
  <si>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</si>
  <si>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</si>
  <si>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</si>
  <si>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</si>
  <si>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</si>
  <si>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</si>
  <si>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</si>
  <si>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</si>
  <si>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</si>
  <si>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</si>
  <si>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</si>
  <si>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</si>
  <si>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</si>
  <si>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</si>
  <si>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</si>
  <si>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</si>
  <si>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</si>
  <si>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</si>
  <si>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</si>
  <si>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</si>
  <si>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</si>
  <si>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</si>
  <si>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</si>
  <si>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</si>
  <si>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</si>
  <si>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</si>
  <si>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</si>
  <si>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</si>
  <si>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</si>
  <si>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</si>
  <si>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</si>
  <si>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</si>
  <si>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</si>
  <si>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</si>
  <si>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</si>
  <si>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</si>
  <si>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</si>
  <si>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</si>
  <si>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</si>
  <si>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</si>
  <si>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</si>
  <si>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</si>
  <si>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</si>
  <si>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</si>
  <si>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</si>
  <si>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</si>
  <si>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</si>
  <si>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</si>
  <si>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</si>
  <si>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</si>
  <si>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</si>
  <si>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</si>
  <si>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</si>
  <si>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</si>
  <si>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</si>
  <si>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</si>
  <si>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</si>
  <si>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</si>
  <si>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</si>
  <si>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</si>
  <si>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</si>
  <si>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</si>
  <si>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</si>
  <si>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</si>
  <si>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</si>
  <si>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</si>
  <si>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</si>
  <si>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</si>
  <si>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</si>
  <si>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</si>
  <si>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</si>
  <si>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</si>
  <si>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</si>
  <si>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Mark-up</t>
  </si>
  <si>
    <t>Category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</si>
  <si>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</si>
  <si>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</si>
  <si>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</si>
  <si>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</si>
  <si>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</si>
  <si>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</si>
  <si>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</si>
  <si>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</si>
  <si>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</si>
  <si>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</si>
  <si>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</si>
  <si>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Level</t>
  </si>
  <si>
    <t xml:space="preserve">Lic/Ven </t>
  </si>
  <si>
    <t>Retail Price - Reverse Pricing</t>
  </si>
  <si>
    <t>Licensee Price - Reverse Pricing</t>
  </si>
  <si>
    <t>Licensee Price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</si>
  <si>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</si>
  <si>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</si>
  <si>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</si>
  <si>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</si>
  <si>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</si>
  <si>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</si>
  <si>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</si>
  <si>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</si>
  <si>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</si>
  <si>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</si>
  <si>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</si>
  <si>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</si>
  <si>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Calculation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</si>
  <si>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</si>
  <si>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</si>
  <si>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</si>
  <si>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</si>
  <si>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</si>
  <si>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</si>
  <si>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</si>
  <si>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</si>
  <si>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</si>
  <si>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</si>
  <si>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</si>
  <si>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</si>
  <si>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</si>
  <si>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</si>
  <si>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</si>
  <si>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</si>
  <si>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</si>
  <si>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</si>
  <si>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</si>
  <si>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</si>
  <si>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</si>
  <si>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</si>
  <si>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</si>
  <si>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</si>
  <si>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</si>
  <si>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&lt;60 mL</t>
  </si>
  <si>
    <t>60-99 mL</t>
  </si>
  <si>
    <t>Effective May 1, 2025</t>
  </si>
  <si>
    <t>One Pour</t>
  </si>
  <si>
    <t>Minimum Micro Surchage</t>
  </si>
  <si>
    <t>RTD</t>
  </si>
  <si>
    <t>Beer (Private Distribution)</t>
  </si>
  <si>
    <t>Beer (MBLL Distribution)</t>
  </si>
  <si>
    <t>Beer MBLL</t>
  </si>
  <si>
    <t>Micro Markup Rate</t>
  </si>
  <si>
    <t>RTD - NGS/Bulk Spirits</t>
  </si>
  <si>
    <t>Effective MAY 1, 2025</t>
  </si>
  <si>
    <t>**Please select below for desired pricing**</t>
  </si>
  <si>
    <t>Ready_to_Drink_Private</t>
  </si>
  <si>
    <t>Lic Min Markup</t>
  </si>
  <si>
    <t>Licensee Markup</t>
  </si>
  <si>
    <t>Currency_MBLL</t>
  </si>
  <si>
    <t>Currency_Private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</si>
</sst>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#,##0.0000"/>
    <numFmt numFmtId="169" formatCode="&quot;$&quot;#,##0.0000;\-&quot;$&quot;#,##0.0000"/>
    <numFmt numFmtId="170" formatCode="0.000"/>
    <numFmt numFmtId="171" formatCode="0.00000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821">
    <xf numFmtId="0" fontId="0" fillId="0" borderId="0"/>
    <xf numFmtId="0" fontId="5" fillId="0" borderId="0"/>
    <xf numFmtId="0" fontId="5" fillId="0" borderId="0"/>
    <xf numFmtId="0" fontId="1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8" borderId="0" applyNumberFormat="0" applyBorder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33" fillId="41" borderId="28" applyNumberForma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9" borderId="0" applyNumberFormat="0" applyBorder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34" fillId="0" borderId="34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35" fillId="0" borderId="35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36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41" borderId="28" applyNumberFormat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37" fillId="0" borderId="37" applyNumberFormat="0" applyFill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9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9" fillId="12" borderId="32" applyNumberFormat="0" applyFont="0" applyAlignment="0" applyProtection="0"/>
    <xf numFmtId="0" fontId="39" fillId="12" borderId="32" applyNumberFormat="0" applyFon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41" borderId="2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0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32" fillId="8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0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8" fillId="0" borderId="16" xfId="0" applyFont="1" applyBorder="1" applyProtection="1"/>
    <xf numFmtId="0" fontId="8" fillId="0" borderId="0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Protection="1"/>
    <xf numFmtId="0" fontId="8" fillId="0" borderId="0" xfId="0" applyFont="1" applyProtection="1"/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0" borderId="21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20" xfId="0" applyNumberFormat="1" applyFont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14" fillId="3" borderId="16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17" xfId="0" applyFont="1" applyFill="1" applyBorder="1" applyAlignment="1" applyProtection="1">
      <alignment horizontal="left"/>
    </xf>
    <xf numFmtId="0" fontId="8" fillId="0" borderId="1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17" xfId="0" applyFont="1" applyBorder="1" applyAlignment="1" applyProtection="1">
      <alignment horizontal="left"/>
    </xf>
    <xf numFmtId="0" fontId="8" fillId="4" borderId="22" xfId="0" applyFont="1" applyFill="1" applyBorder="1" applyProtection="1"/>
    <xf numFmtId="0" fontId="8" fillId="4" borderId="22" xfId="0" applyFont="1" applyFill="1" applyBorder="1" applyAlignment="1" applyProtection="1">
      <alignment horizontal="right" vertical="center"/>
    </xf>
    <xf numFmtId="0" fontId="8" fillId="4" borderId="22" xfId="0" applyFont="1" applyFill="1" applyBorder="1" applyAlignment="1" applyProtection="1">
      <alignment horizontal="right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11" xfId="0" applyFont="1" applyBorder="1" applyProtection="1"/>
    <xf numFmtId="0" fontId="8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8" fillId="0" borderId="24" xfId="0" applyFont="1" applyBorder="1" applyProtection="1"/>
    <xf numFmtId="0" fontId="8" fillId="5" borderId="16" xfId="0" applyFont="1" applyFill="1" applyBorder="1" applyProtection="1"/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0" xfId="0" applyFont="1" applyFill="1" applyBorder="1" applyProtection="1"/>
    <xf numFmtId="2" fontId="8" fillId="0" borderId="0" xfId="0" applyNumberFormat="1" applyFont="1" applyBorder="1" applyProtection="1"/>
    <xf numFmtId="2" fontId="8" fillId="0" borderId="17" xfId="0" applyNumberFormat="1" applyFont="1" applyBorder="1"/>
    <xf numFmtId="166" fontId="0" fillId="0" borderId="0" xfId="0" applyNumberFormat="1"/>
    <xf numFmtId="0" fontId="8" fillId="0" borderId="16" xfId="0" applyFont="1" applyBorder="1"/>
    <xf numFmtId="0" fontId="28" fillId="54" borderId="16" xfId="0" applyFont="1" applyFill="1" applyBorder="1" applyAlignment="1" applyProtection="1">
      <alignment horizontal="center"/>
    </xf>
    <xf numFmtId="0" fontId="28" fillId="54" borderId="17" xfId="0" applyFont="1" applyFill="1" applyBorder="1" applyAlignment="1" applyProtection="1">
      <alignment horizontal="center"/>
    </xf>
    <xf numFmtId="0" fontId="41" fillId="54" borderId="16" xfId="0" applyFont="1" applyFill="1" applyBorder="1" applyAlignment="1" applyProtection="1">
      <alignment horizontal="center"/>
    </xf>
    <xf numFmtId="0" fontId="41" fillId="54" borderId="17" xfId="0" applyFont="1" applyFill="1" applyBorder="1" applyAlignment="1" applyProtection="1">
      <alignment horizontal="center"/>
    </xf>
    <xf numFmtId="0" fontId="42" fillId="54" borderId="16" xfId="0" applyFont="1" applyFill="1" applyBorder="1" applyAlignment="1" applyProtection="1">
      <alignment horizontal="center"/>
    </xf>
    <xf numFmtId="0" fontId="42" fillId="54" borderId="0" xfId="0" applyFont="1" applyFill="1" applyBorder="1" applyAlignment="1" applyProtection="1">
      <alignment horizontal="center"/>
    </xf>
    <xf numFmtId="0" fontId="42" fillId="54" borderId="17" xfId="0" applyFont="1" applyFill="1" applyBorder="1" applyAlignment="1" applyProtection="1">
      <alignment horizontal="center"/>
    </xf>
    <xf numFmtId="0" fontId="13" fillId="56" borderId="16" xfId="0" applyFont="1" applyFill="1" applyBorder="1" applyAlignment="1" applyProtection="1">
      <alignment horizontal="center" wrapText="1"/>
    </xf>
    <xf numFmtId="0" fontId="13" fillId="56" borderId="17" xfId="0" applyFont="1" applyFill="1" applyBorder="1" applyAlignment="1" applyProtection="1">
      <alignment horizontal="center" wrapText="1"/>
    </xf>
    <xf numFmtId="0" fontId="13" fillId="56" borderId="0" xfId="0" applyFont="1" applyFill="1" applyBorder="1" applyAlignment="1" applyProtection="1">
      <alignment horizontal="center" wrapText="1"/>
    </xf>
    <xf numFmtId="0" fontId="13" fillId="56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8" fillId="0" borderId="46" xfId="0" applyFont="1" applyBorder="1" applyProtection="1"/>
    <xf numFmtId="0" fontId="28" fillId="54" borderId="54" xfId="0" applyFont="1" applyFill="1" applyBorder="1" applyAlignment="1" applyProtection="1"/>
    <xf numFmtId="0" fontId="41" fillId="54" borderId="55" xfId="0" applyFont="1" applyFill="1" applyBorder="1" applyAlignment="1" applyProtection="1"/>
    <xf numFmtId="0" fontId="41" fillId="54" borderId="54" xfId="0" applyFont="1" applyFill="1" applyBorder="1" applyAlignment="1" applyProtection="1"/>
    <xf numFmtId="0" fontId="28" fillId="54" borderId="55" xfId="0" applyFont="1" applyFill="1" applyBorder="1" applyAlignment="1" applyProtection="1"/>
    <xf numFmtId="0" fontId="42" fillId="54" borderId="55" xfId="0" applyFont="1" applyFill="1" applyBorder="1" applyAlignment="1" applyProtection="1"/>
    <xf numFmtId="0" fontId="42" fillId="54" borderId="52" xfId="0" applyFont="1" applyFill="1" applyBorder="1" applyAlignment="1" applyProtection="1"/>
    <xf numFmtId="0" fontId="42" fillId="54" borderId="54" xfId="0" applyFont="1" applyFill="1" applyBorder="1" applyAlignment="1" applyProtection="1"/>
    <xf numFmtId="0" fontId="28" fillId="54" borderId="56" xfId="0" applyFont="1" applyFill="1" applyBorder="1" applyAlignment="1" applyProtection="1"/>
    <xf numFmtId="0" fontId="8" fillId="0" borderId="47" xfId="0" applyFont="1" applyBorder="1" applyProtection="1"/>
    <xf numFmtId="0" fontId="28" fillId="54" borderId="48" xfId="0" applyFont="1" applyFill="1" applyBorder="1" applyAlignment="1" applyProtection="1">
      <alignment horizontal="center"/>
    </xf>
    <xf numFmtId="0" fontId="13" fillId="56" borderId="48" xfId="0" applyFont="1" applyFill="1" applyBorder="1" applyAlignment="1" applyProtection="1">
      <alignment horizontal="center" wrapText="1"/>
    </xf>
    <xf numFmtId="0" fontId="8" fillId="0" borderId="0" xfId="0" applyFont="1" applyBorder="1"/>
    <xf numFmtId="2" fontId="8" fillId="0" borderId="0" xfId="0" applyNumberFormat="1" applyFont="1" applyBorder="1"/>
    <xf numFmtId="0" fontId="8" fillId="0" borderId="48" xfId="0" applyFont="1" applyBorder="1" applyProtection="1"/>
    <xf numFmtId="0" fontId="8" fillId="0" borderId="49" xfId="0" applyFont="1" applyBorder="1" applyProtection="1"/>
    <xf numFmtId="0" fontId="8" fillId="0" borderId="50" xfId="0" applyFont="1" applyBorder="1" applyProtection="1"/>
    <xf numFmtId="0" fontId="8" fillId="0" borderId="57" xfId="0" applyFont="1" applyBorder="1" applyProtection="1"/>
    <xf numFmtId="0" fontId="8" fillId="0" borderId="58" xfId="0" applyFont="1" applyBorder="1" applyProtection="1"/>
    <xf numFmtId="0" fontId="8" fillId="0" borderId="59" xfId="0" applyFont="1" applyBorder="1" applyProtection="1"/>
    <xf numFmtId="0" fontId="8" fillId="0" borderId="60" xfId="0" applyFont="1" applyBorder="1" applyProtection="1"/>
    <xf numFmtId="2" fontId="8" fillId="0" borderId="50" xfId="0" applyNumberFormat="1" applyFont="1" applyBorder="1" applyProtection="1"/>
    <xf numFmtId="0" fontId="8" fillId="0" borderId="50" xfId="0" applyFont="1" applyBorder="1"/>
    <xf numFmtId="2" fontId="8" fillId="0" borderId="58" xfId="0" applyNumberFormat="1" applyFont="1" applyBorder="1"/>
    <xf numFmtId="0" fontId="8" fillId="0" borderId="51" xfId="0" applyFont="1" applyBorder="1" applyProtection="1"/>
    <xf numFmtId="0" fontId="13" fillId="54" borderId="53" xfId="0" applyFont="1" applyFill="1" applyBorder="1" applyAlignment="1" applyProtection="1">
      <alignment vertical="center" wrapText="1"/>
    </xf>
    <xf numFmtId="0" fontId="47" fillId="3" borderId="47" xfId="0" applyFont="1" applyFill="1" applyBorder="1" applyProtection="1"/>
    <xf numFmtId="0" fontId="47" fillId="3" borderId="0" xfId="0" applyFont="1" applyFill="1" applyBorder="1" applyProtection="1"/>
    <xf numFmtId="0" fontId="47" fillId="3" borderId="46" xfId="0" applyFont="1" applyFill="1" applyBorder="1" applyProtection="1"/>
    <xf numFmtId="0" fontId="13" fillId="54" borderId="16" xfId="0" applyFont="1" applyFill="1" applyBorder="1"/>
    <xf numFmtId="0" fontId="13" fillId="54" borderId="0" xfId="0" applyFont="1" applyFill="1"/>
    <xf numFmtId="0" fontId="13" fillId="54" borderId="17" xfId="0" applyFont="1" applyFill="1" applyBorder="1"/>
    <xf numFmtId="0" fontId="8" fillId="0" borderId="11" xfId="0" applyFont="1" applyBorder="1"/>
    <xf numFmtId="0" fontId="44" fillId="56" borderId="0" xfId="0" applyFont="1" applyFill="1" applyBorder="1" applyAlignment="1">
      <alignment horizontal="center"/>
    </xf>
    <xf numFmtId="0" fontId="13" fillId="54" borderId="0" xfId="0" applyFont="1" applyFill="1" applyBorder="1"/>
    <xf numFmtId="0" fontId="0" fillId="0" borderId="0" xfId="0" applyBorder="1"/>
    <xf numFmtId="0" fontId="43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 wrapText="1"/>
    </xf>
    <xf numFmtId="0" fontId="12" fillId="0" borderId="16" xfId="0" applyFont="1" applyBorder="1" applyProtection="1"/>
    <xf numFmtId="0" fontId="53" fillId="0" borderId="0" xfId="0" applyFont="1"/>
    <xf numFmtId="0" fontId="8" fillId="5" borderId="0" xfId="0" applyFont="1" applyFill="1" applyBorder="1" applyProtection="1"/>
    <xf numFmtId="0" fontId="0" fillId="0" borderId="64" xfId="0" applyBorder="1"/>
    <xf numFmtId="0" fontId="13" fillId="56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3" fillId="66" borderId="42" xfId="0" applyFont="1" applyFill="1" applyBorder="1"/>
    <xf numFmtId="166" fontId="3" fillId="66" borderId="22" xfId="0" applyNumberFormat="1" applyFont="1" applyFill="1" applyBorder="1"/>
    <xf numFmtId="0" fontId="0" fillId="62" borderId="42" xfId="0" applyFill="1" applyBorder="1"/>
    <xf numFmtId="166" fontId="0" fillId="62" borderId="22" xfId="0" applyNumberFormat="1" applyFill="1" applyBorder="1"/>
    <xf numFmtId="0" fontId="0" fillId="65" borderId="13" xfId="0" applyFill="1" applyBorder="1"/>
    <xf numFmtId="0" fontId="0" fillId="65" borderId="16" xfId="0" applyFill="1" applyBorder="1"/>
    <xf numFmtId="0" fontId="0" fillId="65" borderId="17" xfId="0" applyFill="1" applyBorder="1"/>
    <xf numFmtId="0" fontId="0" fillId="65" borderId="17" xfId="0" applyFill="1" applyBorder="1" applyAlignment="1">
      <alignment horizontal="right"/>
    </xf>
    <xf numFmtId="0" fontId="0" fillId="65" borderId="19" xfId="0" applyFill="1" applyBorder="1"/>
    <xf numFmtId="0" fontId="0" fillId="65" borderId="21" xfId="0" applyFill="1" applyBorder="1"/>
    <xf numFmtId="0" fontId="8" fillId="4" borderId="22" xfId="0" applyNumberFormat="1" applyFont="1" applyFill="1" applyBorder="1" applyAlignment="1" applyProtection="1">
      <alignment horizontal="right"/>
    </xf>
    <xf numFmtId="0" fontId="0" fillId="60" borderId="0" xfId="0" applyFill="1" applyProtection="1">
      <protection hidden="1"/>
    </xf>
    <xf numFmtId="0" fontId="0" fillId="0" borderId="0" xfId="0" applyProtection="1">
      <protection hidden="1"/>
    </xf>
    <xf numFmtId="0" fontId="45" fillId="60" borderId="0" xfId="0" applyFont="1" applyFill="1" applyProtection="1">
      <protection hidden="1"/>
    </xf>
    <xf numFmtId="0" fontId="9" fillId="60" borderId="0" xfId="0" applyFont="1" applyFill="1" applyProtection="1">
      <protection hidden="1"/>
    </xf>
    <xf numFmtId="0" fontId="0" fillId="61" borderId="6" xfId="0" applyFill="1" applyBorder="1" applyProtection="1">
      <protection hidden="1"/>
    </xf>
    <xf numFmtId="0" fontId="45" fillId="61" borderId="61" xfId="0" applyFont="1" applyFill="1" applyBorder="1" applyProtection="1">
      <protection hidden="1"/>
    </xf>
    <xf numFmtId="0" fontId="9" fillId="61" borderId="61" xfId="0" applyFont="1" applyFill="1" applyBorder="1" applyProtection="1">
      <protection hidden="1"/>
    </xf>
    <xf numFmtId="0" fontId="0" fillId="61" borderId="61" xfId="0" applyFill="1" applyBorder="1" applyProtection="1">
      <protection hidden="1"/>
    </xf>
    <xf numFmtId="0" fontId="0" fillId="61" borderId="39" xfId="0" applyFill="1" applyBorder="1" applyProtection="1">
      <protection hidden="1"/>
    </xf>
    <xf numFmtId="0" fontId="0" fillId="61" borderId="8" xfId="0" applyFill="1" applyBorder="1" applyProtection="1">
      <protection hidden="1"/>
    </xf>
    <xf numFmtId="0" fontId="0" fillId="61" borderId="40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0" xfId="0" applyFill="1" applyBorder="1" applyProtection="1">
      <protection hidden="1"/>
    </xf>
    <xf numFmtId="0" fontId="0" fillId="61" borderId="45" xfId="0" applyFill="1" applyBorder="1" applyProtection="1">
      <protection hidden="1"/>
    </xf>
    <xf numFmtId="0" fontId="0" fillId="61" borderId="63" xfId="0" applyFill="1" applyBorder="1" applyProtection="1">
      <protection hidden="1"/>
    </xf>
    <xf numFmtId="0" fontId="0" fillId="61" borderId="41" xfId="0" applyFill="1" applyBorder="1" applyProtection="1">
      <protection hidden="1"/>
    </xf>
    <xf numFmtId="0" fontId="0" fillId="61" borderId="0" xfId="0" applyFill="1" applyProtection="1">
      <protection hidden="1"/>
    </xf>
    <xf numFmtId="0" fontId="0" fillId="61" borderId="62" xfId="0" applyFill="1" applyBorder="1" applyProtection="1">
      <protection hidden="1"/>
    </xf>
    <xf numFmtId="0" fontId="0" fillId="63" borderId="0" xfId="0" applyFill="1" applyProtection="1">
      <protection hidden="1"/>
    </xf>
    <xf numFmtId="0" fontId="14" fillId="3" borderId="13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65" xfId="0" applyFont="1" applyFill="1" applyBorder="1" applyAlignment="1" applyProtection="1">
      <alignment horizontal="center"/>
    </xf>
    <xf numFmtId="0" fontId="15" fillId="0" borderId="18" xfId="0" applyFont="1" applyFill="1" applyBorder="1" applyProtection="1"/>
    <xf numFmtId="0" fontId="16" fillId="0" borderId="18" xfId="0" applyFont="1" applyBorder="1" applyAlignment="1" applyProtection="1">
      <alignment horizontal="left"/>
    </xf>
    <xf numFmtId="0" fontId="15" fillId="0" borderId="18" xfId="0" applyFont="1" applyBorder="1" applyProtection="1"/>
    <xf numFmtId="0" fontId="16" fillId="0" borderId="66" xfId="0" applyFont="1" applyBorder="1" applyAlignment="1" applyProtection="1">
      <alignment horizontal="left"/>
    </xf>
    <xf numFmtId="0" fontId="11" fillId="61" borderId="0" xfId="0" applyFont="1" applyFill="1" applyBorder="1" applyAlignment="1" applyProtection="1">
      <alignment horizontal="center" vertical="center" wrapText="1"/>
      <protection hidden="1"/>
    </xf>
    <xf numFmtId="0" fontId="61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3" fillId="68" borderId="22" xfId="0" applyFont="1" applyFill="1" applyBorder="1"/>
    <xf numFmtId="0" fontId="3" fillId="0" borderId="11" xfId="0" applyFont="1" applyBorder="1"/>
    <xf numFmtId="0" fontId="12" fillId="0" borderId="0" xfId="0" applyFont="1" applyBorder="1" applyProtection="1"/>
    <xf numFmtId="0" fontId="61" fillId="0" borderId="42" xfId="0" applyFont="1" applyBorder="1" applyAlignment="1"/>
    <xf numFmtId="0" fontId="61" fillId="0" borderId="43" xfId="0" applyFont="1" applyBorder="1" applyAlignment="1"/>
    <xf numFmtId="0" fontId="61" fillId="0" borderId="44" xfId="0" applyFont="1" applyBorder="1" applyAlignment="1"/>
    <xf numFmtId="0" fontId="61" fillId="0" borderId="0" xfId="0" applyFont="1" applyBorder="1" applyAlignment="1"/>
    <xf numFmtId="0" fontId="3" fillId="55" borderId="0" xfId="0" applyFont="1" applyFill="1" applyBorder="1"/>
    <xf numFmtId="0" fontId="0" fillId="55" borderId="66" xfId="0" applyFill="1" applyBorder="1"/>
    <xf numFmtId="0" fontId="12" fillId="0" borderId="46" xfId="0" applyFont="1" applyBorder="1" applyProtection="1"/>
    <xf numFmtId="167" fontId="62" fillId="70" borderId="4" xfId="0" applyNumberFormat="1" applyFont="1" applyFill="1" applyBorder="1" applyAlignment="1" applyProtection="1">
      <alignment horizontal="center" vertical="center"/>
      <protection hidden="1"/>
    </xf>
    <xf numFmtId="167" fontId="46" fillId="69" borderId="4" xfId="0" applyNumberFormat="1" applyFont="1" applyFill="1" applyBorder="1" applyAlignment="1" applyProtection="1">
      <alignment horizontal="center" vertical="center"/>
      <protection hidden="1"/>
    </xf>
    <xf numFmtId="167" fontId="59" fillId="61" borderId="0" xfId="0" applyNumberFormat="1" applyFont="1" applyFill="1" applyBorder="1" applyAlignment="1" applyProtection="1">
      <alignment vertical="center"/>
      <protection hidden="1"/>
    </xf>
    <xf numFmtId="167" fontId="63" fillId="61" borderId="0" xfId="0" applyNumberFormat="1" applyFont="1" applyFill="1" applyBorder="1" applyAlignment="1" applyProtection="1">
      <alignment horizontal="center" vertical="center"/>
      <protection hidden="1"/>
    </xf>
    <xf numFmtId="2" fontId="0" fillId="62" borderId="22" xfId="0" applyNumberFormat="1" applyFill="1" applyBorder="1" applyAlignment="1">
      <alignment horizontal="center"/>
    </xf>
    <xf numFmtId="0" fontId="26" fillId="55" borderId="0" xfId="0" applyFont="1" applyFill="1"/>
    <xf numFmtId="2" fontId="0" fillId="72" borderId="22" xfId="0" applyNumberFormat="1" applyFill="1" applyBorder="1" applyAlignment="1">
      <alignment horizontal="center"/>
    </xf>
    <xf numFmtId="0" fontId="0" fillId="72" borderId="22" xfId="0" applyFill="1" applyBorder="1" applyAlignment="1">
      <alignment horizontal="center"/>
    </xf>
    <xf numFmtId="166" fontId="0" fillId="71" borderId="22" xfId="0" applyNumberFormat="1" applyFill="1" applyBorder="1" applyAlignment="1">
      <alignment horizontal="center"/>
    </xf>
    <xf numFmtId="0" fontId="0" fillId="71" borderId="22" xfId="0" applyFill="1" applyBorder="1" applyAlignment="1">
      <alignment horizontal="center"/>
    </xf>
    <xf numFmtId="0" fontId="10" fillId="61" borderId="0" xfId="0" applyFont="1" applyFill="1" applyBorder="1" applyAlignment="1" applyProtection="1">
      <alignment horizontal="center" vertical="center"/>
      <protection hidden="1"/>
    </xf>
    <xf numFmtId="2" fontId="0" fillId="65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61" fillId="0" borderId="13" xfId="0" applyFont="1" applyBorder="1"/>
    <xf numFmtId="0" fontId="0" fillId="0" borderId="14" xfId="0" applyBorder="1"/>
    <xf numFmtId="0" fontId="61" fillId="0" borderId="19" xfId="0" applyFont="1" applyBorder="1" applyAlignment="1"/>
    <xf numFmtId="0" fontId="61" fillId="0" borderId="20" xfId="0" applyFont="1" applyBorder="1" applyAlignment="1"/>
    <xf numFmtId="0" fontId="61" fillId="0" borderId="21" xfId="0" applyFont="1" applyBorder="1" applyAlignment="1"/>
    <xf numFmtId="0" fontId="64" fillId="73" borderId="0" xfId="0" applyFont="1" applyFill="1"/>
    <xf numFmtId="0" fontId="65" fillId="0" borderId="0" xfId="0" applyFont="1"/>
    <xf numFmtId="0" fontId="66" fillId="0" borderId="16" xfId="0" applyFont="1" applyBorder="1" applyAlignment="1">
      <alignment horizontal="right"/>
    </xf>
    <xf numFmtId="0" fontId="65" fillId="0" borderId="16" xfId="0" applyFont="1" applyBorder="1"/>
    <xf numFmtId="0" fontId="65" fillId="0" borderId="16" xfId="0" applyFont="1" applyBorder="1" applyAlignment="1">
      <alignment horizontal="right"/>
    </xf>
    <xf numFmtId="1" fontId="65" fillId="0" borderId="0" xfId="818" applyNumberFormat="1" applyFont="1" applyFill="1" applyBorder="1" applyAlignment="1">
      <alignment horizontal="right"/>
    </xf>
    <xf numFmtId="166" fontId="65" fillId="0" borderId="0" xfId="818" applyNumberFormat="1" applyFont="1" applyFill="1" applyBorder="1" applyAlignment="1">
      <alignment horizontal="right"/>
    </xf>
    <xf numFmtId="0" fontId="65" fillId="0" borderId="19" xfId="0" applyFont="1" applyBorder="1"/>
    <xf numFmtId="1" fontId="65" fillId="0" borderId="20" xfId="818" applyNumberFormat="1" applyFont="1" applyFill="1" applyBorder="1" applyAlignment="1">
      <alignment horizontal="right"/>
    </xf>
    <xf numFmtId="1" fontId="65" fillId="0" borderId="0" xfId="819" applyNumberFormat="1" applyFont="1" applyFill="1" applyBorder="1" applyAlignment="1">
      <alignment horizontal="right"/>
    </xf>
    <xf numFmtId="1" fontId="65" fillId="0" borderId="20" xfId="819" applyNumberFormat="1" applyFont="1" applyFill="1" applyBorder="1" applyAlignment="1">
      <alignment horizontal="right"/>
    </xf>
    <xf numFmtId="166" fontId="0" fillId="62" borderId="22" xfId="0" applyNumberFormat="1" applyFill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166" fontId="8" fillId="0" borderId="22" xfId="0" applyNumberFormat="1" applyFont="1" applyBorder="1" applyAlignment="1" applyProtection="1">
      <alignment horizontal="center"/>
    </xf>
    <xf numFmtId="167" fontId="69" fillId="61" borderId="0" xfId="0" applyNumberFormat="1" applyFont="1" applyFill="1" applyBorder="1" applyAlignment="1" applyProtection="1">
      <alignment horizontal="center" vertical="center"/>
      <protection hidden="1"/>
    </xf>
    <xf numFmtId="0" fontId="67" fillId="57" borderId="4" xfId="0" applyFont="1" applyFill="1" applyBorder="1" applyAlignment="1" applyProtection="1">
      <alignment horizontal="center" vertical="center" wrapText="1"/>
      <protection hidden="1"/>
    </xf>
    <xf numFmtId="0" fontId="70" fillId="59" borderId="4" xfId="0" applyFont="1" applyFill="1" applyBorder="1" applyAlignment="1" applyProtection="1">
      <alignment horizontal="center" vertical="center"/>
      <protection hidden="1"/>
    </xf>
    <xf numFmtId="166" fontId="8" fillId="0" borderId="0" xfId="0" applyNumberFormat="1" applyFont="1" applyBorder="1" applyProtection="1"/>
    <xf numFmtId="0" fontId="0" fillId="69" borderId="66" xfId="0" applyFill="1" applyBorder="1"/>
    <xf numFmtId="2" fontId="0" fillId="69" borderId="22" xfId="0" applyNumberFormat="1" applyFill="1" applyBorder="1" applyAlignment="1">
      <alignment horizontal="center"/>
    </xf>
    <xf numFmtId="0" fontId="0" fillId="69" borderId="22" xfId="0" applyFill="1" applyBorder="1" applyAlignment="1">
      <alignment horizontal="center"/>
    </xf>
    <xf numFmtId="0" fontId="0" fillId="55" borderId="22" xfId="0" applyFill="1" applyBorder="1"/>
    <xf numFmtId="44" fontId="0" fillId="0" borderId="0" xfId="819" applyFont="1"/>
    <xf numFmtId="0" fontId="0" fillId="58" borderId="16" xfId="0" applyFill="1" applyBorder="1" applyProtection="1">
      <protection hidden="1"/>
    </xf>
    <xf numFmtId="0" fontId="0" fillId="58" borderId="0" xfId="0" applyFill="1" applyBorder="1" applyProtection="1">
      <protection hidden="1"/>
    </xf>
    <xf numFmtId="0" fontId="0" fillId="58" borderId="17" xfId="0" applyFill="1" applyBorder="1" applyProtection="1">
      <protection hidden="1"/>
    </xf>
    <xf numFmtId="0" fontId="49" fillId="58" borderId="0" xfId="0" applyFont="1" applyFill="1" applyBorder="1" applyProtection="1">
      <protection hidden="1"/>
    </xf>
    <xf numFmtId="166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Alignment="1" applyProtection="1">
      <alignment horizontal="right"/>
      <protection hidden="1"/>
    </xf>
    <xf numFmtId="0" fontId="0" fillId="58" borderId="19" xfId="0" applyFill="1" applyBorder="1" applyProtection="1">
      <protection hidden="1"/>
    </xf>
    <xf numFmtId="0" fontId="0" fillId="58" borderId="20" xfId="0" applyFill="1" applyBorder="1" applyProtection="1">
      <protection hidden="1"/>
    </xf>
    <xf numFmtId="0" fontId="0" fillId="58" borderId="21" xfId="0" applyFill="1" applyBorder="1" applyProtection="1">
      <protection hidden="1"/>
    </xf>
    <xf numFmtId="0" fontId="0" fillId="60" borderId="13" xfId="0" applyFill="1" applyBorder="1" applyProtection="1">
      <protection hidden="1"/>
    </xf>
    <xf numFmtId="0" fontId="0" fillId="60" borderId="14" xfId="0" applyFill="1" applyBorder="1" applyProtection="1">
      <protection hidden="1"/>
    </xf>
    <xf numFmtId="0" fontId="0" fillId="60" borderId="15" xfId="0" applyFill="1" applyBorder="1" applyProtection="1">
      <protection hidden="1"/>
    </xf>
    <xf numFmtId="0" fontId="0" fillId="60" borderId="16" xfId="0" applyFill="1" applyBorder="1" applyProtection="1">
      <protection hidden="1"/>
    </xf>
    <xf numFmtId="0" fontId="0" fillId="60" borderId="19" xfId="0" applyFill="1" applyBorder="1" applyProtection="1">
      <protection hidden="1"/>
    </xf>
    <xf numFmtId="0" fontId="0" fillId="60" borderId="17" xfId="0" applyFill="1" applyBorder="1" applyProtection="1">
      <protection hidden="1"/>
    </xf>
    <xf numFmtId="0" fontId="0" fillId="60" borderId="21" xfId="0" applyFill="1" applyBorder="1" applyProtection="1">
      <protection hidden="1"/>
    </xf>
    <xf numFmtId="0" fontId="0" fillId="60" borderId="20" xfId="0" applyFill="1" applyBorder="1" applyProtection="1">
      <protection hidden="1"/>
    </xf>
    <xf numFmtId="0" fontId="0" fillId="62" borderId="13" xfId="0" applyFill="1" applyBorder="1" applyProtection="1">
      <protection hidden="1"/>
    </xf>
    <xf numFmtId="0" fontId="0" fillId="62" borderId="14" xfId="0" applyFill="1" applyBorder="1" applyProtection="1">
      <protection hidden="1"/>
    </xf>
    <xf numFmtId="0" fontId="0" fillId="62" borderId="15" xfId="0" applyFill="1" applyBorder="1" applyProtection="1">
      <protection hidden="1"/>
    </xf>
    <xf numFmtId="0" fontId="46" fillId="62" borderId="16" xfId="0" applyFont="1" applyFill="1" applyBorder="1" applyAlignment="1" applyProtection="1">
      <alignment vertical="center"/>
      <protection hidden="1"/>
    </xf>
    <xf numFmtId="0" fontId="0" fillId="62" borderId="16" xfId="0" applyFill="1" applyBorder="1" applyProtection="1">
      <protection hidden="1"/>
    </xf>
    <xf numFmtId="0" fontId="0" fillId="62" borderId="19" xfId="0" applyFill="1" applyBorder="1" applyProtection="1">
      <protection hidden="1"/>
    </xf>
    <xf numFmtId="0" fontId="0" fillId="62" borderId="20" xfId="0" applyFill="1" applyBorder="1" applyProtection="1">
      <protection hidden="1"/>
    </xf>
    <xf numFmtId="0" fontId="0" fillId="62" borderId="21" xfId="0" applyFill="1" applyBorder="1" applyProtection="1">
      <protection hidden="1"/>
    </xf>
    <xf numFmtId="0" fontId="0" fillId="62" borderId="17" xfId="0" applyFill="1" applyBorder="1" applyProtection="1">
      <protection hidden="1"/>
    </xf>
    <xf numFmtId="2" fontId="3" fillId="68" borderId="22" xfId="0" applyNumberFormat="1" applyFont="1" applyFill="1" applyBorder="1" applyAlignment="1">
      <alignment horizontal="center" vertical="center"/>
    </xf>
    <xf numFmtId="0" fontId="0" fillId="77" borderId="16" xfId="0" applyFill="1" applyBorder="1" applyProtection="1">
      <protection hidden="1"/>
    </xf>
    <xf numFmtId="0" fontId="0" fillId="77" borderId="0" xfId="0" applyFill="1" applyBorder="1" applyProtection="1">
      <protection hidden="1"/>
    </xf>
    <xf numFmtId="0" fontId="0" fillId="77" borderId="17" xfId="0" applyFill="1" applyBorder="1" applyProtection="1">
      <protection hidden="1"/>
    </xf>
    <xf numFmtId="0" fontId="54" fillId="77" borderId="0" xfId="0" applyFont="1" applyFill="1" applyBorder="1" applyProtection="1">
      <protection hidden="1"/>
    </xf>
    <xf numFmtId="0" fontId="9" fillId="77" borderId="0" xfId="0" applyFont="1" applyFill="1" applyBorder="1" applyAlignment="1" applyProtection="1">
      <alignment horizontal="center" vertical="center"/>
      <protection locked="0"/>
    </xf>
    <xf numFmtId="0" fontId="55" fillId="77" borderId="0" xfId="0" applyFont="1" applyFill="1" applyBorder="1" applyProtection="1">
      <protection hidden="1"/>
    </xf>
    <xf numFmtId="0" fontId="9" fillId="77" borderId="0" xfId="0" applyNumberFormat="1" applyFont="1" applyFill="1" applyBorder="1" applyAlignment="1" applyProtection="1">
      <alignment horizontal="center" vertical="center"/>
      <protection locked="0"/>
    </xf>
    <xf numFmtId="1" fontId="9" fillId="77" borderId="0" xfId="0" applyNumberFormat="1" applyFont="1" applyFill="1" applyBorder="1" applyAlignment="1" applyProtection="1">
      <alignment horizontal="center" vertical="center"/>
      <protection locked="0"/>
    </xf>
    <xf numFmtId="10" fontId="9" fillId="77" borderId="0" xfId="818" applyNumberFormat="1" applyFont="1" applyFill="1" applyBorder="1" applyAlignment="1" applyProtection="1">
      <alignment horizontal="center" vertical="center"/>
      <protection locked="0"/>
    </xf>
    <xf numFmtId="0" fontId="73" fillId="77" borderId="0" xfId="0" applyFont="1" applyFill="1" applyBorder="1" applyAlignment="1" applyProtection="1">
      <alignment horizontal="center" vertical="center"/>
      <protection locked="0"/>
    </xf>
    <xf numFmtId="0" fontId="71" fillId="77" borderId="0" xfId="0" applyFont="1" applyFill="1" applyBorder="1" applyProtection="1">
      <protection hidden="1"/>
    </xf>
    <xf numFmtId="169" fontId="74" fillId="77" borderId="0" xfId="819" applyNumberFormat="1" applyFont="1" applyFill="1" applyBorder="1" applyAlignment="1" applyProtection="1">
      <alignment horizontal="center" vertical="center"/>
      <protection locked="0" hidden="1"/>
    </xf>
    <xf numFmtId="0" fontId="68" fillId="77" borderId="0" xfId="0" applyFont="1" applyFill="1" applyBorder="1" applyProtection="1">
      <protection hidden="1"/>
    </xf>
    <xf numFmtId="7" fontId="58" fillId="77" borderId="0" xfId="0" applyNumberFormat="1" applyFont="1" applyFill="1" applyBorder="1" applyAlignment="1" applyProtection="1">
      <alignment horizontal="center" vertical="center"/>
      <protection locked="0"/>
    </xf>
    <xf numFmtId="0" fontId="56" fillId="77" borderId="0" xfId="0" applyFont="1" applyFill="1" applyBorder="1" applyProtection="1">
      <protection hidden="1"/>
    </xf>
    <xf numFmtId="0" fontId="54" fillId="77" borderId="0" xfId="0" applyFont="1" applyFill="1" applyBorder="1" applyAlignment="1" applyProtection="1">
      <alignment horizontal="right" vertical="center"/>
      <protection hidden="1"/>
    </xf>
    <xf numFmtId="7" fontId="60" fillId="77" borderId="0" xfId="0" applyNumberFormat="1" applyFont="1" applyFill="1" applyBorder="1" applyAlignment="1" applyProtection="1">
      <alignment horizontal="center" vertical="center"/>
      <protection hidden="1"/>
    </xf>
    <xf numFmtId="0" fontId="0" fillId="77" borderId="19" xfId="0" applyFill="1" applyBorder="1" applyProtection="1">
      <protection hidden="1"/>
    </xf>
    <xf numFmtId="0" fontId="9" fillId="77" borderId="20" xfId="0" applyFont="1" applyFill="1" applyBorder="1" applyAlignment="1" applyProtection="1">
      <alignment horizontal="right" vertical="center"/>
      <protection hidden="1"/>
    </xf>
    <xf numFmtId="7" fontId="9" fillId="77" borderId="20" xfId="0" applyNumberFormat="1" applyFont="1" applyFill="1" applyBorder="1" applyAlignment="1" applyProtection="1">
      <alignment horizontal="center" vertical="center"/>
      <protection hidden="1"/>
    </xf>
    <xf numFmtId="0" fontId="0" fillId="77" borderId="21" xfId="0" applyFill="1" applyBorder="1" applyProtection="1">
      <protection hidden="1"/>
    </xf>
    <xf numFmtId="166" fontId="49" fillId="58" borderId="0" xfId="0" applyNumberFormat="1" applyFont="1" applyFill="1" applyBorder="1" applyAlignment="1" applyProtection="1">
      <alignment horizontal="right"/>
      <protection hidden="1"/>
    </xf>
    <xf numFmtId="0" fontId="75" fillId="77" borderId="0" xfId="0" applyFont="1" applyFill="1" applyBorder="1" applyProtection="1">
      <protection hidden="1"/>
    </xf>
    <xf numFmtId="0" fontId="0" fillId="55" borderId="0" xfId="0" applyFill="1" applyProtection="1">
      <protection hidden="1"/>
    </xf>
    <xf numFmtId="0" fontId="77" fillId="55" borderId="0" xfId="820" quotePrefix="1" applyFont="1" applyFill="1" applyProtection="1">
      <protection locked="0"/>
    </xf>
    <xf numFmtId="166" fontId="3" fillId="68" borderId="22" xfId="0" applyNumberFormat="1" applyFont="1" applyFill="1" applyBorder="1" applyAlignment="1">
      <alignment horizontal="center"/>
    </xf>
    <xf numFmtId="0" fontId="43" fillId="55" borderId="0" xfId="0" applyFont="1" applyFill="1" applyProtection="1">
      <protection hidden="1"/>
    </xf>
    <xf numFmtId="0" fontId="0" fillId="65" borderId="17" xfId="0" applyNumberFormat="1" applyFill="1" applyBorder="1"/>
    <xf numFmtId="2" fontId="78" fillId="0" borderId="17" xfId="0" applyNumberFormat="1" applyFont="1" applyBorder="1"/>
    <xf numFmtId="0" fontId="6" fillId="0" borderId="0" xfId="1" applyFont="1" applyAlignment="1"/>
    <xf numFmtId="164" fontId="4" fillId="62" borderId="39" xfId="0" applyNumberFormat="1" applyFont="1" applyFill="1" applyBorder="1"/>
    <xf numFmtId="164" fontId="4" fillId="62" borderId="40" xfId="0" applyNumberFormat="1" applyFont="1" applyFill="1" applyBorder="1"/>
    <xf numFmtId="164" fontId="4" fillId="62" borderId="41" xfId="0" applyNumberFormat="1" applyFont="1" applyFill="1" applyBorder="1"/>
    <xf numFmtId="0" fontId="7" fillId="79" borderId="1" xfId="1" applyFont="1" applyFill="1" applyBorder="1" applyAlignment="1">
      <alignment horizontal="left" wrapText="1"/>
    </xf>
    <xf numFmtId="0" fontId="7" fillId="79" borderId="4" xfId="1" applyFont="1" applyFill="1" applyBorder="1" applyAlignment="1">
      <alignment horizontal="center" wrapText="1"/>
    </xf>
    <xf numFmtId="0" fontId="7" fillId="79" borderId="3" xfId="1" applyFont="1" applyFill="1" applyBorder="1" applyAlignment="1">
      <alignment horizontal="center" wrapText="1"/>
    </xf>
    <xf numFmtId="0" fontId="6" fillId="55" borderId="6" xfId="1" applyFont="1" applyFill="1" applyBorder="1"/>
    <xf numFmtId="0" fontId="6" fillId="55" borderId="5" xfId="1" applyFont="1" applyFill="1" applyBorder="1"/>
    <xf numFmtId="0" fontId="6" fillId="55" borderId="8" xfId="1" applyFont="1" applyFill="1" applyBorder="1"/>
    <xf numFmtId="0" fontId="6" fillId="55" borderId="7" xfId="1" applyFont="1" applyFill="1" applyBorder="1"/>
    <xf numFmtId="3" fontId="6" fillId="55" borderId="5" xfId="1" applyNumberFormat="1" applyFont="1" applyFill="1" applyBorder="1"/>
    <xf numFmtId="3" fontId="6" fillId="55" borderId="7" xfId="1" applyNumberFormat="1" applyFont="1" applyFill="1" applyBorder="1"/>
    <xf numFmtId="0" fontId="6" fillId="55" borderId="10" xfId="1" applyFont="1" applyFill="1" applyBorder="1"/>
    <xf numFmtId="3" fontId="6" fillId="55" borderId="9" xfId="1" applyNumberFormat="1" applyFont="1" applyFill="1" applyBorder="1"/>
    <xf numFmtId="0" fontId="6" fillId="55" borderId="9" xfId="1" applyFont="1" applyFill="1" applyBorder="1"/>
    <xf numFmtId="2" fontId="79" fillId="0" borderId="17" xfId="0" applyNumberFormat="1" applyFont="1" applyBorder="1"/>
    <xf numFmtId="0" fontId="65" fillId="74" borderId="13" xfId="0" applyFont="1" applyFill="1" applyBorder="1" applyAlignment="1">
      <alignment horizontal="left"/>
    </xf>
    <xf numFmtId="0" fontId="65" fillId="74" borderId="14" xfId="0" applyFont="1" applyFill="1" applyBorder="1" applyAlignment="1">
      <alignment horizontal="left"/>
    </xf>
    <xf numFmtId="0" fontId="65" fillId="74" borderId="15" xfId="0" applyFont="1" applyFill="1" applyBorder="1" applyAlignment="1">
      <alignment horizontal="left"/>
    </xf>
    <xf numFmtId="2" fontId="78" fillId="0" borderId="0" xfId="0" applyNumberFormat="1" applyFont="1" applyBorder="1"/>
    <xf numFmtId="0" fontId="8" fillId="66" borderId="0" xfId="0" applyFont="1" applyFill="1" applyBorder="1"/>
    <xf numFmtId="2" fontId="8" fillId="66" borderId="17" xfId="0" applyNumberFormat="1" applyFont="1" applyFill="1" applyBorder="1"/>
    <xf numFmtId="170" fontId="8" fillId="5" borderId="0" xfId="0" applyNumberFormat="1" applyFont="1" applyFill="1" applyBorder="1" applyProtection="1"/>
    <xf numFmtId="170" fontId="8" fillId="0" borderId="0" xfId="0" applyNumberFormat="1" applyFont="1" applyBorder="1" applyProtection="1"/>
    <xf numFmtId="0" fontId="3" fillId="62" borderId="22" xfId="0" applyFont="1" applyFill="1" applyBorder="1"/>
    <xf numFmtId="0" fontId="3" fillId="62" borderId="44" xfId="0" applyFont="1" applyFill="1" applyBorder="1"/>
    <xf numFmtId="0" fontId="0" fillId="55" borderId="18" xfId="0" applyFill="1" applyBorder="1"/>
    <xf numFmtId="2" fontId="0" fillId="55" borderId="17" xfId="0" applyNumberFormat="1" applyFill="1" applyBorder="1" applyAlignment="1">
      <alignment horizontal="center"/>
    </xf>
    <xf numFmtId="2" fontId="0" fillId="55" borderId="21" xfId="0" applyNumberFormat="1" applyFill="1" applyBorder="1" applyAlignment="1">
      <alignment horizontal="center"/>
    </xf>
    <xf numFmtId="0" fontId="80" fillId="80" borderId="16" xfId="0" applyFont="1" applyFill="1" applyBorder="1" applyAlignment="1" applyProtection="1">
      <alignment horizontal="left"/>
    </xf>
    <xf numFmtId="0" fontId="80" fillId="80" borderId="0" xfId="0" applyFont="1" applyFill="1" applyBorder="1" applyAlignment="1" applyProtection="1">
      <alignment horizontal="left"/>
    </xf>
    <xf numFmtId="0" fontId="80" fillId="80" borderId="17" xfId="0" applyFont="1" applyFill="1" applyBorder="1" applyAlignment="1" applyProtection="1">
      <alignment horizontal="left"/>
    </xf>
    <xf numFmtId="0" fontId="66" fillId="0" borderId="0" xfId="0" applyFont="1" applyBorder="1" applyAlignment="1">
      <alignment horizontal="right"/>
    </xf>
    <xf numFmtId="0" fontId="66" fillId="0" borderId="17" xfId="0" applyFont="1" applyBorder="1" applyAlignment="1">
      <alignment horizontal="right"/>
    </xf>
    <xf numFmtId="171" fontId="65" fillId="0" borderId="17" xfId="818" applyNumberFormat="1" applyFont="1" applyFill="1" applyBorder="1" applyAlignment="1">
      <alignment horizontal="right"/>
    </xf>
    <xf numFmtId="171" fontId="65" fillId="0" borderId="21" xfId="818" applyNumberFormat="1" applyFont="1" applyFill="1" applyBorder="1" applyAlignment="1">
      <alignment horizontal="right"/>
    </xf>
    <xf numFmtId="0" fontId="66" fillId="0" borderId="0" xfId="0" applyFont="1" applyBorder="1" applyAlignment="1">
      <alignment horizontal="right" wrapText="1"/>
    </xf>
    <xf numFmtId="0" fontId="66" fillId="0" borderId="17" xfId="0" applyFont="1" applyBorder="1" applyAlignment="1">
      <alignment horizontal="right" wrapText="1"/>
    </xf>
    <xf numFmtId="0" fontId="65" fillId="74" borderId="13" xfId="0" applyFont="1" applyFill="1" applyBorder="1" applyAlignment="1"/>
    <xf numFmtId="0" fontId="65" fillId="74" borderId="14" xfId="0" applyFont="1" applyFill="1" applyBorder="1" applyAlignment="1"/>
    <xf numFmtId="0" fontId="65" fillId="74" borderId="15" xfId="0" applyFont="1" applyFill="1" applyBorder="1" applyAlignment="1"/>
    <xf numFmtId="0" fontId="0" fillId="58" borderId="0" xfId="0" applyFill="1"/>
    <xf numFmtId="0" fontId="0" fillId="58" borderId="0" xfId="0" applyFill="1" applyAlignment="1">
      <alignment horizontal="center"/>
    </xf>
    <xf numFmtId="0" fontId="0" fillId="60" borderId="67" xfId="0" applyFill="1" applyBorder="1" applyProtection="1">
      <protection hidden="1"/>
    </xf>
    <xf numFmtId="0" fontId="70" fillId="82" borderId="19" xfId="0" applyFont="1" applyFill="1" applyBorder="1" applyAlignment="1" applyProtection="1">
      <alignment horizontal="center" vertical="center"/>
      <protection locked="0"/>
    </xf>
    <xf numFmtId="167" fontId="59" fillId="82" borderId="7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0" fontId="3" fillId="58" borderId="0" xfId="0" applyFont="1" applyFill="1" applyBorder="1" applyProtection="1">
      <protection hidden="1"/>
    </xf>
    <xf numFmtId="166" fontId="3" fillId="58" borderId="0" xfId="0" applyNumberFormat="1" applyFont="1" applyFill="1" applyBorder="1" applyAlignment="1" applyProtection="1">
      <alignment horizontal="right"/>
      <protection hidden="1"/>
    </xf>
    <xf numFmtId="0" fontId="50" fillId="67" borderId="0" xfId="0" applyFont="1" applyFill="1" applyAlignment="1" applyProtection="1">
      <alignment horizontal="center"/>
      <protection hidden="1"/>
    </xf>
    <xf numFmtId="0" fontId="52" fillId="67" borderId="0" xfId="0" applyFont="1" applyFill="1" applyAlignment="1" applyProtection="1">
      <alignment horizontal="center"/>
      <protection hidden="1"/>
    </xf>
    <xf numFmtId="0" fontId="51" fillId="67" borderId="0" xfId="0" applyFont="1" applyFill="1" applyAlignment="1" applyProtection="1">
      <alignment horizontal="center"/>
      <protection hidden="1"/>
    </xf>
    <xf numFmtId="0" fontId="11" fillId="64" borderId="42" xfId="0" applyFont="1" applyFill="1" applyBorder="1" applyAlignment="1" applyProtection="1">
      <alignment horizontal="center"/>
      <protection hidden="1"/>
    </xf>
    <xf numFmtId="0" fontId="11" fillId="64" borderId="43" xfId="0" applyFont="1" applyFill="1" applyBorder="1" applyAlignment="1" applyProtection="1">
      <alignment horizontal="center"/>
      <protection hidden="1"/>
    </xf>
    <xf numFmtId="0" fontId="11" fillId="64" borderId="44" xfId="0" applyFont="1" applyFill="1" applyBorder="1" applyAlignment="1" applyProtection="1">
      <alignment horizontal="center"/>
      <protection hidden="1"/>
    </xf>
    <xf numFmtId="0" fontId="10" fillId="78" borderId="42" xfId="0" applyFont="1" applyFill="1" applyBorder="1" applyAlignment="1" applyProtection="1">
      <alignment horizontal="center" vertical="center"/>
      <protection locked="0"/>
    </xf>
    <xf numFmtId="0" fontId="10" fillId="78" borderId="44" xfId="0" applyFont="1" applyFill="1" applyBorder="1" applyAlignment="1" applyProtection="1">
      <alignment horizontal="center" vertical="center"/>
      <protection locked="0"/>
    </xf>
    <xf numFmtId="0" fontId="48" fillId="57" borderId="42" xfId="0" applyFont="1" applyFill="1" applyBorder="1" applyAlignment="1" applyProtection="1">
      <alignment horizontal="center"/>
      <protection hidden="1"/>
    </xf>
    <xf numFmtId="0" fontId="48" fillId="57" borderId="43" xfId="0" applyFont="1" applyFill="1" applyBorder="1" applyAlignment="1" applyProtection="1">
      <alignment horizontal="center"/>
      <protection hidden="1"/>
    </xf>
    <xf numFmtId="0" fontId="48" fillId="57" borderId="44" xfId="0" applyFont="1" applyFill="1" applyBorder="1" applyAlignment="1" applyProtection="1">
      <alignment horizontal="center"/>
      <protection hidden="1"/>
    </xf>
    <xf numFmtId="0" fontId="72" fillId="81" borderId="68" xfId="0" quotePrefix="1" applyFont="1" applyFill="1" applyBorder="1" applyAlignment="1" applyProtection="1">
      <alignment horizontal="center" vertical="center"/>
      <protection hidden="1"/>
    </xf>
    <xf numFmtId="0" fontId="72" fillId="81" borderId="69" xfId="0" applyFont="1" applyFill="1" applyBorder="1" applyAlignment="1" applyProtection="1">
      <alignment horizontal="center" vertical="center"/>
      <protection hidden="1"/>
    </xf>
    <xf numFmtId="0" fontId="46" fillId="76" borderId="42" xfId="0" quotePrefix="1" applyFont="1" applyFill="1" applyBorder="1" applyAlignment="1" applyProtection="1">
      <alignment horizontal="center" vertical="center"/>
      <protection hidden="1"/>
    </xf>
    <xf numFmtId="0" fontId="46" fillId="76" borderId="44" xfId="0" applyFont="1" applyFill="1" applyBorder="1" applyAlignment="1" applyProtection="1">
      <alignment horizontal="center" vertical="center"/>
      <protection hidden="1"/>
    </xf>
    <xf numFmtId="0" fontId="3" fillId="75" borderId="0" xfId="0" applyFont="1" applyFill="1" applyAlignment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57" fillId="3" borderId="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16" xfId="0" applyFont="1" applyFill="1" applyBorder="1" applyAlignment="1" applyProtection="1">
      <alignment horizontal="center"/>
    </xf>
    <xf numFmtId="0" fontId="44" fillId="56" borderId="13" xfId="0" applyFont="1" applyFill="1" applyBorder="1" applyAlignment="1">
      <alignment horizontal="center"/>
    </xf>
    <xf numFmtId="0" fontId="44" fillId="56" borderId="14" xfId="0" applyFont="1" applyFill="1" applyBorder="1" applyAlignment="1">
      <alignment horizontal="center"/>
    </xf>
    <xf numFmtId="0" fontId="44" fillId="56" borderId="15" xfId="0" applyFont="1" applyFill="1" applyBorder="1" applyAlignment="1">
      <alignment horizontal="center"/>
    </xf>
    <xf numFmtId="0" fontId="6" fillId="58" borderId="5" xfId="1" applyFont="1" applyFill="1" applyBorder="1" applyAlignment="1">
      <alignment horizontal="center" vertical="center" wrapText="1"/>
    </xf>
    <xf numFmtId="0" fontId="6" fillId="58" borderId="7" xfId="1" applyFont="1" applyFill="1" applyBorder="1" applyAlignment="1">
      <alignment horizontal="center" vertical="center" wrapText="1"/>
    </xf>
    <xf numFmtId="0" fontId="6" fillId="58" borderId="9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58" borderId="5" xfId="1" applyFont="1" applyFill="1" applyBorder="1" applyAlignment="1">
      <alignment horizontal="center" vertical="center"/>
    </xf>
    <xf numFmtId="0" fontId="6" fillId="58" borderId="7" xfId="1" applyFont="1" applyFill="1" applyBorder="1" applyAlignment="1">
      <alignment horizontal="center" vertical="center"/>
    </xf>
    <xf numFmtId="0" fontId="6" fillId="58" borderId="9" xfId="1" applyFont="1" applyFill="1" applyBorder="1" applyAlignment="1">
      <alignment horizontal="center" vertical="center"/>
    </xf>
    <xf numFmtId="166" fontId="8" fillId="0" borderId="19" xfId="0" applyNumberFormat="1" applyFont="1" applyBorder="1" applyAlignment="1" applyProtection="1">
      <alignment vertical="center"/>
    </xf>
    <xf numFmtId="0" fontId="81" fillId="58" borderId="0" xfId="0" applyFont="1" applyFill="1" applyBorder="1" applyProtection="1">
      <protection hidden="1"/>
    </xf>
    <xf numFmtId="166" fontId="81" fillId="58" borderId="0" xfId="0" applyNumberFormat="1" applyFont="1" applyFill="1" applyBorder="1" applyProtection="1">
      <protection hidden="1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26"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CCFFFF"/>
      <color rgb="FFB7FFE7"/>
      <color rgb="FFFFE1E1"/>
      <color rgb="FFFFCC00"/>
      <color rgb="FFDBD600"/>
      <color rgb="FFFFFFCC"/>
      <color rgb="FFB3FFE6"/>
      <color rgb="FFDDFFF4"/>
      <color rgb="FFC5E5ED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3</xdr:row>
      <xdr:rowOff>95250</xdr:rowOff>
    </xdr:from>
    <xdr:to>
      <xdr:col>13</xdr:col>
      <xdr:colOff>146050</xdr:colOff>
      <xdr:row>3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9944100" y="1003300"/>
          <a:ext cx="577850" cy="1714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800" b="1">
              <a:solidFill>
                <a:schemeClr val="bg1"/>
              </a:solidFill>
            </a:rPr>
            <a:t>2025-04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26</xdr:col>
      <xdr:colOff>0</xdr:colOff>
      <xdr:row>3</xdr:row>
      <xdr:rowOff>203200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706100" y="673100"/>
          <a:ext cx="6813550" cy="4381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300" b="1">
              <a:solidFill>
                <a:srgbClr val="FF0000"/>
              </a:solidFill>
            </a:rPr>
            <a:t>**Instructions</a:t>
          </a:r>
          <a:r>
            <a:rPr lang="en-CA" sz="1300" b="1" baseline="0">
              <a:solidFill>
                <a:srgbClr val="FF0000"/>
              </a:solidFill>
            </a:rPr>
            <a:t> on how to fill out the Trial Pricing Calculator**</a:t>
          </a:r>
        </a:p>
        <a:p>
          <a:pPr algn="ctr"/>
          <a:r>
            <a:rPr lang="en-CA" sz="900" b="1" baseline="0">
              <a:solidFill>
                <a:srgbClr val="002060"/>
              </a:solidFill>
            </a:rPr>
            <a:t>(Please fill out all the applicable info. </a:t>
          </a:r>
          <a:r>
            <a:rPr lang="en-CA" sz="9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900" b="1" baseline="0">
              <a:solidFill>
                <a:srgbClr val="002060"/>
              </a:solidFill>
            </a:rPr>
            <a:t>)</a:t>
          </a:r>
          <a:endParaRPr lang="en-CA" sz="9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184150</xdr:rowOff>
    </xdr:from>
    <xdr:to>
      <xdr:col>26</xdr:col>
      <xdr:colOff>0</xdr:colOff>
      <xdr:row>40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712450" y="1092200"/>
          <a:ext cx="6807200" cy="72707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 (column K9)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(K9)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</a:t>
          </a:r>
        </a:p>
        <a:p>
          <a:pPr marL="1543050" lvl="3" indent="-171450">
            <a:buFont typeface="Courier New" panose="02070309020205020404" pitchFamily="49" charset="0"/>
            <a:buChar char="o"/>
          </a:pPr>
          <a:r>
            <a:rPr lang="en-CA" sz="1000" baseline="0">
              <a:solidFill>
                <a:schemeClr val="bg1"/>
              </a:solidFill>
            </a:rPr>
            <a:t>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C000"/>
              </a:solidFill>
              <a:effectLst/>
            </a:rPr>
            <a:t>PLEASE NOTE: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baseline="0">
              <a:solidFill>
                <a:srgbClr val="FFFF00"/>
              </a:solidFill>
              <a:effectLst/>
            </a:rPr>
            <a:t>*</a:t>
          </a:r>
          <a:r>
            <a:rPr lang="en-CA" sz="1000" b="1" baseline="0">
              <a:solidFill>
                <a:srgbClr val="FFFF00"/>
              </a:solidFill>
              <a:effectLst/>
            </a:rPr>
            <a:t>Fortified Wine </a:t>
          </a:r>
          <a:r>
            <a:rPr lang="en-CA" sz="1000" baseline="0">
              <a:solidFill>
                <a:schemeClr val="bg1"/>
              </a:solidFill>
              <a:effectLst/>
            </a:rPr>
            <a:t>- wines that had additional alcohol added to them usually a distilled grape-based spirit such as brandy to create a new, sometimes sweeter wine with higher alcohol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</a:rPr>
            <a:t>*One-Pour Cocktail </a:t>
          </a:r>
          <a:r>
            <a:rPr lang="en-CA" sz="1000" baseline="0">
              <a:solidFill>
                <a:schemeClr val="bg1"/>
              </a:solidFill>
              <a:effectLst/>
            </a:rPr>
            <a:t>- Ready to Drink with higher than 7% alcohol volume up to 14.5% alcohol.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000" baseline="0">
            <a:solidFill>
              <a:schemeClr val="bg1"/>
            </a:solidFill>
            <a:effectLst/>
          </a:endParaRP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712450" y="25400"/>
          <a:ext cx="6807200" cy="622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  <xdr:twoCellAnchor>
    <xdr:from>
      <xdr:col>11</xdr:col>
      <xdr:colOff>927060</xdr:colOff>
      <xdr:row>5</xdr:row>
      <xdr:rowOff>76201</xdr:rowOff>
    </xdr:from>
    <xdr:to>
      <xdr:col>15</xdr:col>
      <xdr:colOff>12700</xdr:colOff>
      <xdr:row>8</xdr:row>
      <xdr:rowOff>203200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6D55E4F0-15EE-BF3A-A020-13EE37AD9AB7}"/>
            </a:ext>
          </a:extLst>
        </xdr:cNvPr>
        <xdr:cNvSpPr/>
      </xdr:nvSpPr>
      <xdr:spPr>
        <a:xfrm>
          <a:off x="9956760" y="1504951"/>
          <a:ext cx="736640" cy="698499"/>
        </a:xfrm>
        <a:custGeom>
          <a:avLst/>
          <a:gdLst>
            <a:gd name="connsiteX0" fmla="*/ 333379 w 1143000"/>
            <a:gd name="connsiteY0" fmla="*/ 785813 h 698500"/>
            <a:gd name="connsiteX1" fmla="*/ 290647 w 1143000"/>
            <a:gd name="connsiteY1" fmla="*/ 653418 h 698500"/>
            <a:gd name="connsiteX2" fmla="*/ 196122 w 1143000"/>
            <a:gd name="connsiteY2" fmla="*/ 85902 h 698500"/>
            <a:gd name="connsiteX3" fmla="*/ 743986 w 1143000"/>
            <a:gd name="connsiteY3" fmla="*/ 16287 h 698500"/>
            <a:gd name="connsiteX4" fmla="*/ 1064461 w 1143000"/>
            <a:gd name="connsiteY4" fmla="*/ 525947 h 698500"/>
            <a:gd name="connsiteX5" fmla="*/ 497550 w 1143000"/>
            <a:gd name="connsiteY5" fmla="*/ 695565 h 698500"/>
            <a:gd name="connsiteX6" fmla="*/ 333379 w 1143000"/>
            <a:gd name="connsiteY6" fmla="*/ 785813 h 698500"/>
            <a:gd name="connsiteX0" fmla="*/ 282619 w 1143320"/>
            <a:gd name="connsiteY0" fmla="*/ 855668 h 855668"/>
            <a:gd name="connsiteX1" fmla="*/ 290687 w 1143320"/>
            <a:gd name="connsiteY1" fmla="*/ 653423 h 855668"/>
            <a:gd name="connsiteX2" fmla="*/ 196162 w 1143320"/>
            <a:gd name="connsiteY2" fmla="*/ 85907 h 855668"/>
            <a:gd name="connsiteX3" fmla="*/ 744026 w 1143320"/>
            <a:gd name="connsiteY3" fmla="*/ 16292 h 855668"/>
            <a:gd name="connsiteX4" fmla="*/ 1064501 w 1143320"/>
            <a:gd name="connsiteY4" fmla="*/ 525952 h 855668"/>
            <a:gd name="connsiteX5" fmla="*/ 497590 w 1143320"/>
            <a:gd name="connsiteY5" fmla="*/ 695570 h 855668"/>
            <a:gd name="connsiteX6" fmla="*/ 282619 w 1143320"/>
            <a:gd name="connsiteY6" fmla="*/ 855668 h 855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43320" h="855668">
              <a:moveTo>
                <a:pt x="282619" y="855668"/>
              </a:moveTo>
              <a:cubicBezTo>
                <a:pt x="268375" y="811536"/>
                <a:pt x="304931" y="697555"/>
                <a:pt x="290687" y="653423"/>
              </a:cubicBezTo>
              <a:cubicBezTo>
                <a:pt x="-52968" y="534920"/>
                <a:pt x="-101375" y="244294"/>
                <a:pt x="196162" y="85907"/>
              </a:cubicBezTo>
              <a:cubicBezTo>
                <a:pt x="346431" y="5915"/>
                <a:pt x="554034" y="-20465"/>
                <a:pt x="744026" y="16292"/>
              </a:cubicBezTo>
              <a:cubicBezTo>
                <a:pt x="1093754" y="83952"/>
                <a:pt x="1250094" y="332582"/>
                <a:pt x="1064501" y="525952"/>
              </a:cubicBezTo>
              <a:cubicBezTo>
                <a:pt x="948397" y="646921"/>
                <a:pt x="725147" y="713716"/>
                <a:pt x="497590" y="695570"/>
              </a:cubicBezTo>
              <a:lnTo>
                <a:pt x="282619" y="855668"/>
              </a:lnTo>
              <a:close/>
            </a:path>
          </a:pathLst>
        </a:cu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300" b="1" i="1">
            <a:solidFill>
              <a:srgbClr val="FF0000"/>
            </a:solidFill>
          </a:endParaRPr>
        </a:p>
        <a:p>
          <a:pPr algn="ctr"/>
          <a:r>
            <a:rPr lang="en-CA" sz="900" b="1" i="1">
              <a:solidFill>
                <a:srgbClr val="FF0000"/>
              </a:solidFill>
            </a:rPr>
            <a:t>Input</a:t>
          </a:r>
          <a:r>
            <a:rPr lang="en-CA" sz="900" b="1" i="1" baseline="0">
              <a:solidFill>
                <a:srgbClr val="FF0000"/>
              </a:solidFill>
            </a:rPr>
            <a:t> desired pricing</a:t>
          </a:r>
          <a:endParaRPr lang="en-CA" sz="9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37" customWidth="1"/>
    <col min="2" max="2" width="2.1796875" style="120" customWidth="1"/>
    <col min="3" max="3" width="3.6328125" style="120" customWidth="1"/>
    <col min="4" max="4" width="32.90625" style="120" customWidth="1"/>
    <col min="5" max="5" width="34.26953125" style="120" bestFit="1" customWidth="1"/>
    <col min="6" max="6" width="3.6328125" style="120" customWidth="1"/>
    <col min="7" max="7" width="2.1796875" style="120" customWidth="1"/>
    <col min="8" max="8" width="1.81640625" style="137" customWidth="1"/>
    <col min="9" max="9" width="2.1796875" style="120" customWidth="1"/>
    <col min="10" max="10" width="3.6328125" style="120" customWidth="1"/>
    <col min="11" max="11" width="40.6328125" style="120" customWidth="1"/>
    <col min="12" max="12" width="15.6328125" style="120" customWidth="1"/>
    <col min="13" max="13" width="3.6328125" style="120" customWidth="1"/>
    <col min="14" max="14" width="2.1796875" style="120" customWidth="1"/>
    <col min="15" max="15" width="2.1796875" style="137" customWidth="1"/>
    <col min="16" max="25" width="8.7265625" style="120" customWidth="1"/>
    <col min="26" max="26" width="10.6328125" style="120" customWidth="1"/>
    <col min="27" max="27" width="0" style="120" hidden="1" customWidth="1"/>
    <col min="28" max="16384" width="8.7265625" hidden="1"/>
  </cols>
  <sheetData>
    <row r="1" spans="1:15" ht="10" customHeight="1" x14ac:dyDescent="0.3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32" x14ac:dyDescent="0.7">
      <c r="A2" s="119"/>
      <c r="B2" s="310" t="s">
        <v>19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119"/>
    </row>
    <row r="3" spans="1:15" ht="29.5" x14ac:dyDescent="0.65">
      <c r="A3" s="119"/>
      <c r="B3" s="311" t="s">
        <v>158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119"/>
    </row>
    <row r="4" spans="1:15" ht="26" x14ac:dyDescent="0.6">
      <c r="A4" s="119"/>
      <c r="B4" s="312" t="s">
        <v>305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119"/>
    </row>
    <row r="5" spans="1:15" ht="15" customHeight="1" thickBot="1" x14ac:dyDescent="0.55000000000000004">
      <c r="A5" s="119"/>
      <c r="B5" s="121"/>
      <c r="C5" s="119"/>
      <c r="D5" s="122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5" customHeight="1" x14ac:dyDescent="0.5">
      <c r="A6" s="119"/>
      <c r="B6" s="123"/>
      <c r="C6" s="124"/>
      <c r="D6" s="125"/>
      <c r="E6" s="126"/>
      <c r="F6" s="126"/>
      <c r="G6" s="127"/>
      <c r="H6" s="119"/>
      <c r="I6" s="123"/>
      <c r="J6" s="126"/>
      <c r="K6" s="126"/>
      <c r="L6" s="126"/>
      <c r="M6" s="126"/>
      <c r="N6" s="127"/>
      <c r="O6" s="119"/>
    </row>
    <row r="7" spans="1:15" ht="8" customHeight="1" x14ac:dyDescent="0.35">
      <c r="A7" s="119"/>
      <c r="B7" s="128"/>
      <c r="C7" s="221"/>
      <c r="D7" s="222"/>
      <c r="E7" s="222"/>
      <c r="F7" s="223"/>
      <c r="G7" s="129"/>
      <c r="H7" s="119"/>
      <c r="I7" s="128"/>
      <c r="J7" s="213"/>
      <c r="K7" s="214"/>
      <c r="L7" s="214"/>
      <c r="M7" s="215"/>
      <c r="N7" s="129"/>
      <c r="O7" s="119"/>
    </row>
    <row r="8" spans="1:15" ht="22" customHeight="1" x14ac:dyDescent="0.35">
      <c r="A8" s="119"/>
      <c r="B8" s="128"/>
      <c r="C8" s="224"/>
      <c r="D8" s="323" t="s">
        <v>287</v>
      </c>
      <c r="E8" s="324"/>
      <c r="F8" s="229"/>
      <c r="G8" s="129"/>
      <c r="H8" s="119"/>
      <c r="I8" s="128"/>
      <c r="J8" s="216"/>
      <c r="K8" s="321" t="s">
        <v>306</v>
      </c>
      <c r="L8" s="322"/>
      <c r="M8" s="218"/>
      <c r="N8" s="129"/>
      <c r="O8" s="119"/>
    </row>
    <row r="9" spans="1:15" ht="21" customHeight="1" x14ac:dyDescent="0.35">
      <c r="A9" s="119"/>
      <c r="B9" s="128"/>
      <c r="C9" s="225"/>
      <c r="D9" s="316"/>
      <c r="E9" s="317"/>
      <c r="F9" s="229"/>
      <c r="G9" s="129"/>
      <c r="H9" s="119"/>
      <c r="I9" s="128"/>
      <c r="J9" s="216"/>
      <c r="K9" s="305"/>
      <c r="L9" s="306"/>
      <c r="M9" s="218"/>
      <c r="N9" s="129"/>
      <c r="O9" s="119"/>
    </row>
    <row r="10" spans="1:15" ht="8" customHeight="1" x14ac:dyDescent="0.35">
      <c r="A10" s="119"/>
      <c r="B10" s="128"/>
      <c r="C10" s="226"/>
      <c r="D10" s="227"/>
      <c r="E10" s="227"/>
      <c r="F10" s="228"/>
      <c r="G10" s="129"/>
      <c r="H10" s="119"/>
      <c r="I10" s="128"/>
      <c r="J10" s="217"/>
      <c r="K10" s="220"/>
      <c r="L10" s="304"/>
      <c r="M10" s="219"/>
      <c r="N10" s="129"/>
      <c r="O10" s="119"/>
    </row>
    <row r="11" spans="1:15" ht="10" customHeight="1" x14ac:dyDescent="0.35">
      <c r="A11" s="119"/>
      <c r="B11" s="128"/>
      <c r="C11" s="130"/>
      <c r="D11" s="130"/>
      <c r="E11" s="130"/>
      <c r="F11" s="130"/>
      <c r="G11" s="129"/>
      <c r="H11" s="119"/>
      <c r="I11" s="128"/>
      <c r="J11" s="130"/>
      <c r="K11" s="130"/>
      <c r="L11" s="130"/>
      <c r="M11" s="130"/>
      <c r="N11" s="129"/>
      <c r="O11" s="119"/>
    </row>
    <row r="12" spans="1:15" ht="18.5" x14ac:dyDescent="0.45">
      <c r="A12" s="119"/>
      <c r="B12" s="128"/>
      <c r="C12" s="318" t="s">
        <v>20</v>
      </c>
      <c r="D12" s="319"/>
      <c r="E12" s="319"/>
      <c r="F12" s="320"/>
      <c r="G12" s="129"/>
      <c r="H12" s="119"/>
      <c r="I12" s="128"/>
      <c r="J12" s="313" t="s">
        <v>136</v>
      </c>
      <c r="K12" s="314"/>
      <c r="L12" s="314"/>
      <c r="M12" s="315"/>
      <c r="N12" s="129"/>
      <c r="O12" s="119"/>
    </row>
    <row r="13" spans="1:15" x14ac:dyDescent="0.35">
      <c r="A13" s="119"/>
      <c r="B13" s="128"/>
      <c r="C13" s="231"/>
      <c r="D13" s="232"/>
      <c r="E13" s="232"/>
      <c r="F13" s="233"/>
      <c r="G13" s="129"/>
      <c r="H13" s="119"/>
      <c r="I13" s="128"/>
      <c r="J13" s="203"/>
      <c r="K13" s="351" t="str">
        <f>IF(D9="","",IF(E29="","",IF(D9="PRIVATE DISTRIBUTION","",IF(AND(D9="MBLL DISTRIBUTION",E29="CAD"),"","Base Unit Price - "&amp;E29))))</f>
        <v/>
      </c>
      <c r="L13" s="352" t="str">
        <f>IF(D9="","",IF(E29="","",IF(AND(D9="MBLL Distribution",E29="CAD"),"",IFERROR(IF(AND(E29="CAD",D9="MBLL DISTRIBUTION"),"",L40/E20),""))))</f>
        <v/>
      </c>
      <c r="M13" s="205"/>
      <c r="N13" s="129"/>
      <c r="O13" s="119"/>
    </row>
    <row r="14" spans="1:15" x14ac:dyDescent="0.35">
      <c r="A14" s="119"/>
      <c r="B14" s="128"/>
      <c r="C14" s="231"/>
      <c r="D14" s="234" t="str">
        <f>IF(D9="","","Product Category")</f>
        <v/>
      </c>
      <c r="E14" s="235"/>
      <c r="F14" s="233"/>
      <c r="G14" s="129"/>
      <c r="H14" s="119"/>
      <c r="I14" s="128"/>
      <c r="J14" s="203"/>
      <c r="K14" s="206" t="str">
        <f>IF(D9="","","Base Unit Price (CAD)")</f>
        <v/>
      </c>
      <c r="L14" s="207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05"/>
      <c r="N14" s="129"/>
      <c r="O14" s="119"/>
    </row>
    <row r="15" spans="1:15" x14ac:dyDescent="0.35">
      <c r="A15" s="119"/>
      <c r="B15" s="128"/>
      <c r="C15" s="231"/>
      <c r="D15" s="234" t="str">
        <f>IF(D9="","","Sub-Type")</f>
        <v/>
      </c>
      <c r="E15" s="235"/>
      <c r="F15" s="233"/>
      <c r="G15" s="129"/>
      <c r="H15" s="119"/>
      <c r="I15" s="128"/>
      <c r="J15" s="203"/>
      <c r="K15" s="206" t="str">
        <f>IF(D9="MBLL DISTRIBUTION","Standard Freight rate/Liter","")</f>
        <v/>
      </c>
      <c r="L15" s="207" t="str">
        <f>IF(D9="","",IF(D9="PRIVATE DISTRIBUTION","",IFERROR(SUM(Calculations!B11*Calculations!B7),0)))</f>
        <v/>
      </c>
      <c r="M15" s="205"/>
      <c r="N15" s="129"/>
      <c r="O15" s="119"/>
    </row>
    <row r="16" spans="1:15" x14ac:dyDescent="0.35">
      <c r="A16" s="119"/>
      <c r="B16" s="128"/>
      <c r="C16" s="231"/>
      <c r="D16" s="234" t="str">
        <f>IF(D9="","","Micro Produced")</f>
        <v/>
      </c>
      <c r="E16" s="235"/>
      <c r="F16" s="233"/>
      <c r="G16" s="129"/>
      <c r="H16" s="119"/>
      <c r="I16" s="128"/>
      <c r="J16" s="203"/>
      <c r="K16" s="206" t="str">
        <f>IF(D9="MBLL DISTRIBUTION","Customs Duty","")</f>
        <v/>
      </c>
      <c r="L16" s="207" t="str">
        <f>IF(D9="","",IF(D9="PRIVATE DISTRIBUTION","",IF(E14="Spirit",Calculations!D4,IF(E14="Wine",Calculations!E4,IF(E14="Ready_to_Drink",Calculations!F4,IF(E14="Beer",Calculations!G4,0))))))</f>
        <v/>
      </c>
      <c r="M16" s="205"/>
      <c r="N16" s="129"/>
      <c r="O16" s="119"/>
    </row>
    <row r="17" spans="1:15" x14ac:dyDescent="0.35">
      <c r="A17" s="119"/>
      <c r="B17" s="128"/>
      <c r="C17" s="231"/>
      <c r="D17" s="234" t="str">
        <f>IF(D9="MBLL DISTRIBUTION","Certificate of Origin","")</f>
        <v/>
      </c>
      <c r="E17" s="235"/>
      <c r="F17" s="233"/>
      <c r="G17" s="129"/>
      <c r="H17" s="119"/>
      <c r="I17" s="128"/>
      <c r="J17" s="203"/>
      <c r="K17" s="206" t="str">
        <f>IF(D9="MBLL DISTRIBUTION","Excise Duty","")</f>
        <v/>
      </c>
      <c r="L17" s="207" t="str">
        <f>IF(D9="","",IF(D9="PRIVATE DISTRIBUTION","",IF(E14="Spirit",Calculations!D7,IF(E14="Wine",Calculations!E7,IF(E14="Ready_to_Drink",Calculations!F7,IF(E14="Beer",Calculations!G7,0))))))</f>
        <v/>
      </c>
      <c r="M17" s="205"/>
      <c r="N17" s="129"/>
      <c r="O17" s="119"/>
    </row>
    <row r="18" spans="1:15" x14ac:dyDescent="0.35">
      <c r="A18" s="119"/>
      <c r="B18" s="128"/>
      <c r="C18" s="231"/>
      <c r="D18" s="236" t="str">
        <f>IF(D9="","",IF(D9="MBLL DISTRIBUTION","     Is this a Gift Pack?",""))</f>
        <v/>
      </c>
      <c r="E18" s="237"/>
      <c r="F18" s="233"/>
      <c r="G18" s="129"/>
      <c r="H18" s="119"/>
      <c r="I18" s="128"/>
      <c r="J18" s="203"/>
      <c r="K18" s="308" t="str">
        <f>IF(AND(D9="MBLL DISTRIBUTION",E14="Beer"),"Beer Extra Charge","")</f>
        <v/>
      </c>
      <c r="L18" s="309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05"/>
      <c r="N18" s="129"/>
      <c r="O18" s="119"/>
    </row>
    <row r="19" spans="1:15" x14ac:dyDescent="0.35">
      <c r="A19" s="119"/>
      <c r="B19" s="128"/>
      <c r="C19" s="231"/>
      <c r="D19" s="234"/>
      <c r="E19" s="235"/>
      <c r="F19" s="233"/>
      <c r="G19" s="129"/>
      <c r="H19" s="119"/>
      <c r="I19" s="128"/>
      <c r="J19" s="203"/>
      <c r="K19" s="204"/>
      <c r="L19" s="204"/>
      <c r="M19" s="205"/>
      <c r="N19" s="129"/>
      <c r="O19" s="119"/>
    </row>
    <row r="20" spans="1:15" x14ac:dyDescent="0.35">
      <c r="A20" s="119"/>
      <c r="B20" s="128"/>
      <c r="C20" s="231"/>
      <c r="D20" s="234" t="str">
        <f>IF(D9="","",IF(D9="MBLL DISTRIBUTION","Selling Units per Case (Case size)",""))</f>
        <v/>
      </c>
      <c r="E20" s="238"/>
      <c r="F20" s="233"/>
      <c r="G20" s="129"/>
      <c r="H20" s="119"/>
      <c r="I20" s="128"/>
      <c r="J20" s="203"/>
      <c r="K20" s="206" t="str">
        <f>IF(D9="","",IF(AND(D9="PRIVATE DISTRIBUTION",E14="Beer"),"Markup (licensee)","Markup"))</f>
        <v/>
      </c>
      <c r="L20" s="207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DISTRIBUTION",E14="Beer"),Calculations!N5,IF(AND(D9="PRIVATE DISTRIBUTION",E14="Ready_to_Drink"),Calculations!L5,0)))))))),0)</f>
        <v/>
      </c>
      <c r="M20" s="205"/>
      <c r="N20" s="129"/>
      <c r="O20" s="119"/>
    </row>
    <row r="21" spans="1:15" x14ac:dyDescent="0.35">
      <c r="A21" s="119"/>
      <c r="B21" s="128"/>
      <c r="C21" s="231"/>
      <c r="D21" s="234" t="str">
        <f>IF(D9="","","Individual Container Size (Liter)")</f>
        <v/>
      </c>
      <c r="E21" s="235"/>
      <c r="F21" s="233"/>
      <c r="G21" s="129"/>
      <c r="H21" s="119"/>
      <c r="I21" s="128"/>
      <c r="J21" s="203"/>
      <c r="K21" s="206" t="str">
        <f>IF(D9="","","Per Package Surcharge")</f>
        <v/>
      </c>
      <c r="L21" s="207" t="str">
        <f>IF(D9="","",(IF(E14="Spirit",Calculations!D13,IF(E14="Wine",Calculations!E13,IF(E14="Ready_to_Drink",Calculations!F13,IF(E14="Beer",Calculations!G13,0))))))</f>
        <v/>
      </c>
      <c r="M21" s="205"/>
      <c r="N21" s="129"/>
      <c r="O21" s="119"/>
    </row>
    <row r="22" spans="1:15" x14ac:dyDescent="0.35">
      <c r="A22" s="119"/>
      <c r="B22" s="128"/>
      <c r="C22" s="231"/>
      <c r="D22" s="253" t="str">
        <f>IF(D9="","","# of Individual containers per selling pack")</f>
        <v/>
      </c>
      <c r="E22" s="235"/>
      <c r="F22" s="233"/>
      <c r="G22" s="129"/>
      <c r="H22" s="119"/>
      <c r="I22" s="128"/>
      <c r="J22" s="203"/>
      <c r="K22" s="206" t="str">
        <f>IF(D9="","","Equalization Charge")</f>
        <v/>
      </c>
      <c r="L22" s="208" t="str">
        <f>IF(D9="","",IF(E14="Spirit",Calculations!D19,IF(E14="Wine",Calculations!E19,IF(E14="Ready_to_Drink",Calculations!F19,IF(E14="Beer",Calculations!G19,0)))))</f>
        <v/>
      </c>
      <c r="M22" s="205"/>
      <c r="N22" s="129"/>
      <c r="O22" s="119"/>
    </row>
    <row r="23" spans="1:15" x14ac:dyDescent="0.35">
      <c r="A23" s="119"/>
      <c r="B23" s="128"/>
      <c r="C23" s="231"/>
      <c r="D23" s="245" t="str">
        <f>IF(D9="","","Container Type")</f>
        <v/>
      </c>
      <c r="E23" s="235"/>
      <c r="F23" s="233"/>
      <c r="G23" s="129"/>
      <c r="H23" s="119"/>
      <c r="I23" s="128"/>
      <c r="J23" s="203"/>
      <c r="K23" s="206" t="str">
        <f>IF(D9="MBLL DISTRIBUTION","Commercial Consideration","")</f>
        <v/>
      </c>
      <c r="L23" s="208" t="str">
        <f>IF(D9="","",IF(D9="PRIVATE DISTRIBUTION","",IF(E14="Spirit",Calculations!D16,IF(E14="Wine",Calculations!E16,IF(E14="Ready_to_Drink",Calculations!F16,IF(E14="Beer",Calculations!G16,0))))))</f>
        <v/>
      </c>
      <c r="M23" s="205"/>
      <c r="N23" s="129"/>
      <c r="O23" s="119"/>
    </row>
    <row r="24" spans="1:15" x14ac:dyDescent="0.35">
      <c r="A24" s="119"/>
      <c r="B24" s="128"/>
      <c r="C24" s="231"/>
      <c r="D24" s="234" t="str">
        <f>IF(D9="","","Alcohol Percent (%)")</f>
        <v/>
      </c>
      <c r="E24" s="239"/>
      <c r="F24" s="233"/>
      <c r="G24" s="129"/>
      <c r="H24" s="119"/>
      <c r="I24" s="128"/>
      <c r="J24" s="203"/>
      <c r="K24" s="206" t="str">
        <f>IF(AND(D9="PRIVATE DISTRIBUTION",E14="Beer"),"Handling Charge","")</f>
        <v/>
      </c>
      <c r="L24" s="209" t="str">
        <f>IF(K24="","",IF(E23="Keg",0,IF(AND(D9="PRIVATE DISTRIBUTION",E14="Beer"),0.0283*Calculations!B9,"0.0000")))</f>
        <v/>
      </c>
      <c r="M24" s="205"/>
      <c r="N24" s="129"/>
      <c r="O24" s="119"/>
    </row>
    <row r="25" spans="1:15" x14ac:dyDescent="0.35">
      <c r="A25" s="119"/>
      <c r="B25" s="128"/>
      <c r="C25" s="231"/>
      <c r="D25" s="234"/>
      <c r="E25" s="235"/>
      <c r="F25" s="233"/>
      <c r="G25" s="129"/>
      <c r="H25" s="119"/>
      <c r="I25" s="128"/>
      <c r="J25" s="203"/>
      <c r="K25" s="206" t="str">
        <f>IF(D9="","",IF(E18="Yes","Add-On cost per unit",""))</f>
        <v/>
      </c>
      <c r="L25" s="252" t="str">
        <f>IF(D32="","",IF(D9="MBLL DISTRIBUTION",SUM(E32/Calculations!B6*Calculations!B4),IF('Trial Pricing Calculator'!D9="PRIVATE DISTRIBUTION",'Trial Pricing Calculator'!E32,"0.0000")))</f>
        <v/>
      </c>
      <c r="M25" s="205"/>
      <c r="N25" s="129"/>
      <c r="O25" s="119"/>
    </row>
    <row r="26" spans="1:15" x14ac:dyDescent="0.35">
      <c r="A26" s="119"/>
      <c r="B26" s="128"/>
      <c r="C26" s="231"/>
      <c r="D26" s="234" t="str">
        <f>IF(D9="MBLL DISTRIBUTION","Product Shipping Location","")</f>
        <v/>
      </c>
      <c r="E26" s="235"/>
      <c r="F26" s="233"/>
      <c r="G26" s="129"/>
      <c r="H26" s="119"/>
      <c r="I26" s="128"/>
      <c r="J26" s="203"/>
      <c r="K26" s="204"/>
      <c r="L26" s="204"/>
      <c r="M26" s="205"/>
      <c r="N26" s="129"/>
      <c r="O26" s="119"/>
    </row>
    <row r="27" spans="1:15" x14ac:dyDescent="0.35">
      <c r="A27" s="119"/>
      <c r="B27" s="128"/>
      <c r="C27" s="231"/>
      <c r="D27" s="234" t="str">
        <f>IF(D9="MBLL DISTRIBUTION","Freight Zone","")</f>
        <v/>
      </c>
      <c r="E27" s="240"/>
      <c r="F27" s="233"/>
      <c r="G27" s="129"/>
      <c r="H27" s="119"/>
      <c r="I27" s="128"/>
      <c r="J27" s="203"/>
      <c r="K27" s="204"/>
      <c r="L27" s="204"/>
      <c r="M27" s="205"/>
      <c r="N27" s="129"/>
      <c r="O27" s="119"/>
    </row>
    <row r="28" spans="1:15" ht="14.5" customHeight="1" x14ac:dyDescent="0.35">
      <c r="A28" s="119"/>
      <c r="B28" s="128"/>
      <c r="C28" s="231"/>
      <c r="D28" s="234" t="str">
        <f>IF(D9="","",IF(D9="MBLL DISTRIBUTION","Duty Type",""))</f>
        <v/>
      </c>
      <c r="E28" s="235"/>
      <c r="F28" s="233"/>
      <c r="G28" s="129"/>
      <c r="H28" s="119"/>
      <c r="I28" s="128"/>
      <c r="J28" s="203"/>
      <c r="K28" s="204"/>
      <c r="L28" s="204"/>
      <c r="M28" s="205"/>
      <c r="N28" s="129"/>
      <c r="O28" s="119"/>
    </row>
    <row r="29" spans="1:15" ht="14.5" customHeight="1" x14ac:dyDescent="0.35">
      <c r="A29" s="119"/>
      <c r="B29" s="128"/>
      <c r="C29" s="231"/>
      <c r="D29" s="234" t="str">
        <f>IF(D9="","","Currency")</f>
        <v/>
      </c>
      <c r="E29" s="235"/>
      <c r="F29" s="233"/>
      <c r="G29" s="129"/>
      <c r="H29" s="119"/>
      <c r="I29" s="128"/>
      <c r="J29" s="203"/>
      <c r="K29" s="204"/>
      <c r="L29" s="204"/>
      <c r="M29" s="205"/>
      <c r="N29" s="129"/>
      <c r="O29" s="119"/>
    </row>
    <row r="30" spans="1:15" ht="15" customHeight="1" x14ac:dyDescent="0.35">
      <c r="A30" s="119"/>
      <c r="B30" s="128"/>
      <c r="C30" s="231"/>
      <c r="D30" s="241"/>
      <c r="E30" s="242"/>
      <c r="F30" s="233"/>
      <c r="G30" s="129"/>
      <c r="H30" s="119"/>
      <c r="I30" s="128"/>
      <c r="J30" s="203"/>
      <c r="K30" s="204"/>
      <c r="L30" s="204"/>
      <c r="M30" s="205"/>
      <c r="N30" s="129"/>
      <c r="O30" s="119"/>
    </row>
    <row r="31" spans="1:15" ht="15" customHeight="1" x14ac:dyDescent="0.35">
      <c r="A31" s="119"/>
      <c r="B31" s="128"/>
      <c r="C31" s="231"/>
      <c r="D31" s="243"/>
      <c r="E31" s="244"/>
      <c r="F31" s="233"/>
      <c r="G31" s="129"/>
      <c r="H31" s="119"/>
      <c r="I31" s="128"/>
      <c r="J31" s="203"/>
      <c r="K31" s="204"/>
      <c r="L31" s="204"/>
      <c r="M31" s="205"/>
      <c r="N31" s="129"/>
      <c r="O31" s="119"/>
    </row>
    <row r="32" spans="1:15" ht="14.5" customHeight="1" x14ac:dyDescent="0.35">
      <c r="A32" s="119"/>
      <c r="B32" s="128"/>
      <c r="C32" s="231"/>
      <c r="D32" s="245" t="str">
        <f>IF(AND(D9="MBLL DISTRIBUTION",E18="Yes"),"     Total Add-on Cost per Case","")</f>
        <v/>
      </c>
      <c r="E32" s="244"/>
      <c r="F32" s="233"/>
      <c r="G32" s="129"/>
      <c r="H32" s="119"/>
      <c r="I32" s="128"/>
      <c r="J32" s="203"/>
      <c r="K32" s="204"/>
      <c r="L32" s="204"/>
      <c r="M32" s="205"/>
      <c r="N32" s="129"/>
      <c r="O32" s="119"/>
    </row>
    <row r="33" spans="1:26" ht="14.5" customHeight="1" x14ac:dyDescent="0.35">
      <c r="A33" s="119"/>
      <c r="B33" s="128"/>
      <c r="C33" s="231"/>
      <c r="D33" s="246" t="str">
        <f>IF(AND(D9="MBLL DISTRIBUTION",E18="Yes"),"Case Cost (Before Add-on Cost)   ","")</f>
        <v/>
      </c>
      <c r="E33" s="247" t="str">
        <f>IF(D33="","",IFERROR(IF(AND(D9="MBLL DISTRIBUTION",E18="Yes"),Calculations!B3,IF(AND(D9="PRIVATE DISTRIBUTION",E18="Yes",K9="Gross Price to Brewer"),SUM(L9-E32),SUM(E32+Calculations!B18))),0))</f>
        <v/>
      </c>
      <c r="F33" s="233"/>
      <c r="G33" s="129"/>
      <c r="H33" s="119"/>
      <c r="I33" s="128"/>
      <c r="J33" s="203"/>
      <c r="K33" s="204"/>
      <c r="L33" s="204"/>
      <c r="M33" s="205"/>
      <c r="N33" s="129"/>
      <c r="O33" s="119"/>
    </row>
    <row r="34" spans="1:26" x14ac:dyDescent="0.35">
      <c r="A34" s="119"/>
      <c r="B34" s="128"/>
      <c r="C34" s="231"/>
      <c r="D34" s="243"/>
      <c r="E34" s="244"/>
      <c r="F34" s="233"/>
      <c r="G34" s="129"/>
      <c r="H34" s="119"/>
      <c r="I34" s="128"/>
      <c r="J34" s="203"/>
      <c r="K34" s="204"/>
      <c r="L34" s="204"/>
      <c r="M34" s="205"/>
      <c r="N34" s="129"/>
      <c r="O34" s="119"/>
    </row>
    <row r="35" spans="1:26" ht="10" customHeight="1" x14ac:dyDescent="0.35">
      <c r="A35" s="119"/>
      <c r="B35" s="128"/>
      <c r="C35" s="248"/>
      <c r="D35" s="249"/>
      <c r="E35" s="250"/>
      <c r="F35" s="251"/>
      <c r="G35" s="129"/>
      <c r="H35" s="119"/>
      <c r="I35" s="128"/>
      <c r="J35" s="210"/>
      <c r="K35" s="211"/>
      <c r="L35" s="211"/>
      <c r="M35" s="212"/>
      <c r="N35" s="129"/>
      <c r="O35" s="119"/>
    </row>
    <row r="36" spans="1:26" ht="15" thickBot="1" x14ac:dyDescent="0.4">
      <c r="A36" s="119"/>
      <c r="B36" s="131"/>
      <c r="C36" s="132"/>
      <c r="D36" s="132"/>
      <c r="E36" s="133"/>
      <c r="F36" s="133"/>
      <c r="G36" s="134"/>
      <c r="H36" s="119"/>
      <c r="I36" s="128"/>
      <c r="J36" s="130"/>
      <c r="K36" s="130"/>
      <c r="L36" s="130"/>
      <c r="M36" s="130"/>
      <c r="N36" s="129"/>
      <c r="O36" s="119"/>
    </row>
    <row r="37" spans="1:26" ht="10" customHeight="1" thickBot="1" x14ac:dyDescent="0.4">
      <c r="A37" s="119"/>
      <c r="B37" s="123"/>
      <c r="C37" s="126"/>
      <c r="D37" s="126"/>
      <c r="E37" s="126"/>
      <c r="F37" s="126"/>
      <c r="G37" s="127"/>
      <c r="H37" s="119"/>
      <c r="I37" s="128"/>
      <c r="J37" s="130"/>
      <c r="K37" s="130"/>
      <c r="L37" s="130"/>
      <c r="M37" s="130"/>
      <c r="N37" s="129"/>
      <c r="O37" s="119"/>
    </row>
    <row r="38" spans="1:26" ht="35" customHeight="1" thickBot="1" x14ac:dyDescent="0.4">
      <c r="A38" s="119"/>
      <c r="B38" s="128"/>
      <c r="C38" s="135"/>
      <c r="D38" s="195" t="s">
        <v>276</v>
      </c>
      <c r="E38" s="161">
        <f>IF(AND(D9="MBLL DISTRIBUTION",E18="Yes"),Calculations!B15,Calculations!B17)</f>
        <v>0</v>
      </c>
      <c r="F38" s="162"/>
      <c r="G38" s="129"/>
      <c r="H38" s="119"/>
      <c r="I38" s="128"/>
      <c r="J38" s="130"/>
      <c r="K38" s="146" t="str">
        <f>IF(E14="Beer","Licensee/Vendor Price                                       (before taxes and deposit)","")</f>
        <v/>
      </c>
      <c r="L38" s="163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30"/>
      <c r="N38" s="129"/>
      <c r="O38" s="119"/>
    </row>
    <row r="39" spans="1:26" ht="10" customHeight="1" thickBot="1" x14ac:dyDescent="0.4">
      <c r="A39" s="119"/>
      <c r="B39" s="128"/>
      <c r="C39" s="130"/>
      <c r="D39" s="130"/>
      <c r="E39" s="130"/>
      <c r="F39" s="135"/>
      <c r="G39" s="129"/>
      <c r="H39" s="119"/>
      <c r="I39" s="128"/>
      <c r="J39" s="130"/>
      <c r="K39" s="130"/>
      <c r="L39" s="130"/>
      <c r="M39" s="130"/>
      <c r="N39" s="129"/>
      <c r="O39" s="119"/>
    </row>
    <row r="40" spans="1:26" ht="30" customHeight="1" thickBot="1" x14ac:dyDescent="0.4">
      <c r="A40" s="119"/>
      <c r="B40" s="128"/>
      <c r="C40" s="130"/>
      <c r="D40" s="196" t="s">
        <v>156</v>
      </c>
      <c r="E40" s="160">
        <f>IFERROR(IF(E14="Spirit",Calculations!J22,IF(OR(E15="Sake",E15="Sparkling Wine",E15="All Other Wine"),Calculations!K22,IF(E15="Fortified Wine",Calculations!K24,IF(AND(OR(E15="Spirit Cooler",E15="Wine Cooler",E15="Cider",E15="Malt Based Cooler",E15="RTD - NGS/Bulk Spirits"),E14="Ready_to_Drink"),Calculations!L22,IF(E15="One-Pour Cocktail",Calculations!L24,IF(E14="Beer",Calculations!M22,0)))))),0)</f>
        <v>0</v>
      </c>
      <c r="F40" s="162"/>
      <c r="G40" s="129"/>
      <c r="H40" s="119"/>
      <c r="I40" s="128"/>
      <c r="J40" s="130"/>
      <c r="K40" s="170" t="str">
        <f>IF(D9="","",IF(AND(D9="MBLL DISTRIBUTION",E18="Yes"),"Final Case Cost",IF(AND(D9="MBLL DISTRIBUTION",OR(E18="No",E18="")),"Case Cost",IF(D9="PRIVATE DISTRIBUTION","Gross Price to Brewer",""))))</f>
        <v/>
      </c>
      <c r="L40" s="194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30"/>
      <c r="N40" s="129"/>
      <c r="O40" s="119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15" thickBot="1" x14ac:dyDescent="0.4">
      <c r="A41" s="119"/>
      <c r="B41" s="131"/>
      <c r="C41" s="133"/>
      <c r="D41" s="133"/>
      <c r="E41" s="133"/>
      <c r="F41" s="133"/>
      <c r="G41" s="136"/>
      <c r="H41" s="119"/>
      <c r="I41" s="131"/>
      <c r="J41" s="133"/>
      <c r="K41" s="133"/>
      <c r="L41" s="133"/>
      <c r="M41" s="133"/>
      <c r="N41" s="136"/>
      <c r="O41" s="119"/>
    </row>
    <row r="42" spans="1:26" ht="15" customHeight="1" x14ac:dyDescent="0.3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257" t="s">
        <v>293</v>
      </c>
      <c r="Q42" s="254"/>
      <c r="R42" s="254"/>
      <c r="S42" s="254"/>
      <c r="T42" s="254"/>
      <c r="U42" s="254"/>
      <c r="V42" s="255" t="s">
        <v>292</v>
      </c>
      <c r="W42" s="254"/>
      <c r="X42" s="254"/>
      <c r="Y42" s="254"/>
      <c r="Z42" s="254"/>
    </row>
  </sheetData>
  <sheetProtection algorithmName="SHA-512" hashValue="n871o3XiO75vb4tHcGmIlEquBE8hKcCjKcHH5EymcS+ocQh8t5w9HIKgpfiGwRgJJojA6pFj6cocQFKsT4hLwA==" saltValue="ZQwCZxWB0hBLHobIy7DE4A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25" priority="79" operator="containsText" text="PRIVATE DISTRIBUTION">
      <formula>NOT(ISERROR(SEARCH("PRIVATE DISTRIBUTION",D9)))</formula>
    </cfRule>
    <cfRule type="containsText" dxfId="24" priority="80" operator="containsText" text="MBLL DISTRIBUTION">
      <formula>NOT(ISERROR(SEARCH("MBLL DISTRIBUTION",D9)))</formula>
    </cfRule>
  </conditionalFormatting>
  <conditionalFormatting sqref="E14">
    <cfRule type="expression" dxfId="23" priority="77">
      <formula>$D$9="PRIVATE DISTRIBUTION"</formula>
    </cfRule>
    <cfRule type="expression" dxfId="22" priority="78">
      <formula>$D$9="MBLL DISTRIBUTION"</formula>
    </cfRule>
  </conditionalFormatting>
  <conditionalFormatting sqref="E15">
    <cfRule type="expression" dxfId="21" priority="75">
      <formula>$D$9="PRIVATE DISTRIBUTION"</formula>
    </cfRule>
    <cfRule type="expression" dxfId="20" priority="76">
      <formula>$D$9="MBLL DISTRIBUTION"</formula>
    </cfRule>
  </conditionalFormatting>
  <conditionalFormatting sqref="E16">
    <cfRule type="expression" dxfId="19" priority="73">
      <formula>$D$9="PRIVATE DISTRIBUTION"</formula>
    </cfRule>
    <cfRule type="expression" dxfId="18" priority="74">
      <formula>$D$9="MBLL DISTRIBUTION"</formula>
    </cfRule>
  </conditionalFormatting>
  <conditionalFormatting sqref="E17">
    <cfRule type="expression" dxfId="17" priority="8">
      <formula>$D$9="MBLL DISTRIBUTION"</formula>
    </cfRule>
  </conditionalFormatting>
  <conditionalFormatting sqref="E18">
    <cfRule type="expression" dxfId="16" priority="56">
      <formula>$D$9="MBLL DISTRIBUTION"</formula>
    </cfRule>
  </conditionalFormatting>
  <conditionalFormatting sqref="E20:E24">
    <cfRule type="expression" dxfId="15" priority="62">
      <formula>$D$9="MBLL DISTRIBUTION"</formula>
    </cfRule>
  </conditionalFormatting>
  <conditionalFormatting sqref="E21:E24">
    <cfRule type="expression" dxfId="14" priority="63">
      <formula>$D$9="PRIVATE DISTRIBUTION"</formula>
    </cfRule>
  </conditionalFormatting>
  <conditionalFormatting sqref="E26:E28">
    <cfRule type="expression" dxfId="13" priority="46">
      <formula>$D$9="MBLL DISTRIBUTION"</formula>
    </cfRule>
  </conditionalFormatting>
  <conditionalFormatting sqref="E29">
    <cfRule type="expression" dxfId="12" priority="6">
      <formula>$D$9="MBLL DISTRIBUTION"</formula>
    </cfRule>
    <cfRule type="expression" dxfId="11" priority="7">
      <formula>$D$9="PRIVATE DISTRIBUTION"</formula>
    </cfRule>
  </conditionalFormatting>
  <conditionalFormatting sqref="E32:E33">
    <cfRule type="expression" dxfId="10" priority="1">
      <formula>$E$18="Yes"</formula>
    </cfRule>
  </conditionalFormatting>
  <conditionalFormatting sqref="K9">
    <cfRule type="expression" dxfId="9" priority="4">
      <formula>$D$9="PRIVATE DISTRIBUTION"</formula>
    </cfRule>
    <cfRule type="expression" dxfId="8" priority="11">
      <formula>$D$9="MBLL DISTRIBUTION"</formula>
    </cfRule>
  </conditionalFormatting>
  <conditionalFormatting sqref="K38">
    <cfRule type="expression" dxfId="7" priority="52">
      <formula>$E$14="Beer"</formula>
    </cfRule>
  </conditionalFormatting>
  <conditionalFormatting sqref="K40">
    <cfRule type="expression" dxfId="6" priority="23">
      <formula>$D$9="MBLL DISTRIBUTION"</formula>
    </cfRule>
    <cfRule type="expression" dxfId="5" priority="24">
      <formula>$D$9="PRIVATE DISTRIBUTION"</formula>
    </cfRule>
  </conditionalFormatting>
  <conditionalFormatting sqref="L9">
    <cfRule type="expression" dxfId="4" priority="3">
      <formula>$D$9="PRIVATE DISTRIBUTION"</formula>
    </cfRule>
    <cfRule type="expression" dxfId="3" priority="10">
      <formula>$D$9="MBLL DISTRIBUTION"</formula>
    </cfRule>
  </conditionalFormatting>
  <conditionalFormatting sqref="L38">
    <cfRule type="expression" dxfId="2" priority="51">
      <formula>$E$14="Beer"</formula>
    </cfRule>
  </conditionalFormatting>
  <conditionalFormatting sqref="L40">
    <cfRule type="expression" dxfId="1" priority="21">
      <formula>$D$9="PRIVATE DISTRIBUTION"</formula>
    </cfRule>
    <cfRule type="expression" dxfId="0" priority="22">
      <formula>$D$9="MBLL DISTRIBUTION"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IF(E14="","",IF(E14="Spirit",Spirit,IF(E14="Wine",Wine,IF(AND(D9="MBLL DISTRIBUTION",E14="Ready_to_Drink"),Ready_to_Drink,IF(AND(D9="PRIVATE DISTRIBUTION",E14="Ready_to_Drink"),Ready_to_Drink_Private,IF(E14="Beer",Beer,""))))))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IF($D$9="MBLL DISTRIBUTION",Currency_MBLL,Currency_Private)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error="Not editable field. Please select from dropdown." prompt="Please select Product Category then select from the Drop-down." sqref="K9" xr:uid="{47FFA39D-B113-499B-8EA3-ED71A90DF9A8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2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X258"/>
  <sheetViews>
    <sheetView zoomScaleNormal="100" workbookViewId="0">
      <selection activeCell="D7" sqref="D7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3.7265625" customWidth="1"/>
    <col min="16" max="16" width="26.81640625" customWidth="1"/>
    <col min="19" max="19" width="26.36328125" customWidth="1"/>
  </cols>
  <sheetData>
    <row r="1" spans="1:24" x14ac:dyDescent="0.35">
      <c r="A1" s="101" t="s">
        <v>136</v>
      </c>
      <c r="P1" s="285" t="s">
        <v>239</v>
      </c>
      <c r="Q1" s="286" t="s">
        <v>28</v>
      </c>
      <c r="S1" s="285" t="s">
        <v>303</v>
      </c>
      <c r="T1" s="286" t="s">
        <v>28</v>
      </c>
      <c r="V1" s="180" t="s">
        <v>25</v>
      </c>
      <c r="W1" s="180"/>
      <c r="X1" s="180"/>
    </row>
    <row r="2" spans="1:24" x14ac:dyDescent="0.35">
      <c r="D2" s="332" t="s">
        <v>49</v>
      </c>
      <c r="E2" s="333"/>
      <c r="F2" s="333"/>
      <c r="G2" s="334"/>
      <c r="J2" s="329" t="s">
        <v>25</v>
      </c>
      <c r="K2" s="330"/>
      <c r="L2" s="330"/>
      <c r="M2" s="330"/>
      <c r="N2" s="331"/>
      <c r="P2" s="287" t="s">
        <v>9</v>
      </c>
      <c r="Q2" s="288">
        <v>19.399999999999999</v>
      </c>
      <c r="S2" s="287" t="s">
        <v>9</v>
      </c>
      <c r="T2" s="288">
        <v>19.399999999999999</v>
      </c>
      <c r="V2" s="299" t="s">
        <v>9</v>
      </c>
      <c r="W2" s="300"/>
      <c r="X2" s="301"/>
    </row>
    <row r="3" spans="1:24" x14ac:dyDescent="0.35">
      <c r="A3" s="112" t="s">
        <v>22</v>
      </c>
      <c r="B3" s="171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13" t="s">
        <v>36</v>
      </c>
      <c r="E3" s="14" t="s">
        <v>16</v>
      </c>
      <c r="F3" s="14" t="s">
        <v>37</v>
      </c>
      <c r="G3" s="15" t="s">
        <v>12</v>
      </c>
      <c r="J3" s="337" t="s">
        <v>36</v>
      </c>
      <c r="K3" s="335" t="s">
        <v>16</v>
      </c>
      <c r="L3" s="335" t="s">
        <v>37</v>
      </c>
      <c r="M3" s="335" t="s">
        <v>302</v>
      </c>
      <c r="N3" s="336" t="s">
        <v>244</v>
      </c>
      <c r="P3" s="287" t="s">
        <v>16</v>
      </c>
      <c r="Q3" s="288">
        <v>3.2</v>
      </c>
      <c r="S3" s="287" t="s">
        <v>16</v>
      </c>
      <c r="T3" s="288">
        <v>3.2</v>
      </c>
      <c r="V3" s="182" t="s">
        <v>251</v>
      </c>
      <c r="W3" s="293" t="s">
        <v>25</v>
      </c>
      <c r="X3" s="294" t="s">
        <v>268</v>
      </c>
    </row>
    <row r="4" spans="1:24" x14ac:dyDescent="0.35">
      <c r="A4" s="113" t="s">
        <v>23</v>
      </c>
      <c r="B4" s="114">
        <f>IFERROR(VLOOKUP('Trial Pricing Calculator'!E29,Rates!K:L,2,0),1)</f>
        <v>1</v>
      </c>
      <c r="D4" s="43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44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45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12">
        <v>0</v>
      </c>
      <c r="J4" s="337"/>
      <c r="K4" s="335"/>
      <c r="L4" s="335"/>
      <c r="M4" s="335"/>
      <c r="N4" s="336"/>
      <c r="P4" s="287" t="s">
        <v>299</v>
      </c>
      <c r="Q4" s="288">
        <v>2.4</v>
      </c>
      <c r="S4" s="287" t="s">
        <v>299</v>
      </c>
      <c r="T4" s="288">
        <v>2.4</v>
      </c>
      <c r="V4" s="184">
        <v>101</v>
      </c>
      <c r="W4" s="185">
        <v>40</v>
      </c>
      <c r="X4" s="295">
        <f>ROUND(1-(100/(W4+100)),6)</f>
        <v>0.28571400000000002</v>
      </c>
    </row>
    <row r="5" spans="1:24" x14ac:dyDescent="0.35">
      <c r="A5" s="113" t="s">
        <v>164</v>
      </c>
      <c r="B5" s="114">
        <f>'Trial Pricing Calculator'!E24*100</f>
        <v>0</v>
      </c>
      <c r="D5" s="326" t="s">
        <v>48</v>
      </c>
      <c r="E5" s="327"/>
      <c r="F5" s="327"/>
      <c r="G5" s="328"/>
      <c r="J5" s="27">
        <f>IF((J10&lt;J13),J13,J10)</f>
        <v>0</v>
      </c>
      <c r="K5" s="27">
        <f>IF((K10&lt;K13),K13,K10)</f>
        <v>0</v>
      </c>
      <c r="L5" s="27">
        <f>IF((L10&lt;L13),L13,L10)</f>
        <v>0</v>
      </c>
      <c r="M5" s="27">
        <f>IF((M10&lt;M13),M13,M10)</f>
        <v>0</v>
      </c>
      <c r="N5" s="27" t="str">
        <f>IF((N10&lt;N13),N13,N10)</f>
        <v/>
      </c>
      <c r="P5" s="287" t="s">
        <v>300</v>
      </c>
      <c r="Q5" s="288">
        <v>1.33</v>
      </c>
      <c r="S5" s="287" t="s">
        <v>300</v>
      </c>
      <c r="T5" s="288">
        <v>1.33</v>
      </c>
      <c r="V5" s="187">
        <v>100</v>
      </c>
      <c r="W5" s="188">
        <v>153</v>
      </c>
      <c r="X5" s="296">
        <f>ROUND(1-(100/(W5+100)),6)</f>
        <v>0.60474300000000003</v>
      </c>
    </row>
    <row r="6" spans="1:24" x14ac:dyDescent="0.35">
      <c r="A6" s="113" t="s">
        <v>151</v>
      </c>
      <c r="B6" s="114">
        <f>IF('Trial Pricing Calculator'!E20=0,0,'Trial Pricing Calculator'!E20)</f>
        <v>0</v>
      </c>
      <c r="D6" s="13" t="s">
        <v>36</v>
      </c>
      <c r="E6" s="14" t="s">
        <v>16</v>
      </c>
      <c r="F6" s="14" t="s">
        <v>37</v>
      </c>
      <c r="G6" s="15" t="s">
        <v>12</v>
      </c>
      <c r="J6" s="4"/>
      <c r="K6" s="5"/>
      <c r="L6" s="5"/>
      <c r="M6" s="5"/>
      <c r="N6" s="6"/>
      <c r="P6" s="158" t="s">
        <v>301</v>
      </c>
      <c r="Q6" s="289">
        <v>1.98</v>
      </c>
      <c r="S6" s="158" t="s">
        <v>301</v>
      </c>
      <c r="T6" s="289">
        <v>1.98</v>
      </c>
      <c r="V6" s="277" t="s">
        <v>269</v>
      </c>
      <c r="W6" s="278"/>
      <c r="X6" s="279"/>
    </row>
    <row r="7" spans="1:24" x14ac:dyDescent="0.35">
      <c r="A7" s="113" t="s">
        <v>169</v>
      </c>
      <c r="B7" s="114">
        <f>_xlfn.NUMBERVALUE(IF('Trial Pricing Calculator'!E22="",'Trial Pricing Calculator'!E21,SUM('Trial Pricing Calculator'!E21*'Trial Pricing Calculator'!E22)))</f>
        <v>0</v>
      </c>
      <c r="D7" s="350">
        <f>IF('Trial Pricing Calculator'!E28="Duty Paid",0,IF(B5&gt;7,Calculations!B7*B5*Rates!$U$7*0.01,IF(B5&lt;=7,SUM(B7*Rates!$U$8))))</f>
        <v>0</v>
      </c>
      <c r="E7" s="16">
        <f>IF('Trial Pricing Calculator'!E28="Duty Paid",0,IF(B5&lt;=7,B7*Rates!$U$10*Calculations!B9,Calculations!B7*Rates!$U$9))</f>
        <v>0</v>
      </c>
      <c r="F7" s="11">
        <f>IF(OR('Trial Pricing Calculator'!E28="Duty Paid",'Trial Pricing Calculator'!E28=""),0,IF(AND('Trial Pricing Calculator'!E15="Spirit Cooler",Calculations!B5&gt;7),((Calculations!B7)*Rates!U7)*0.01,IF(AND(OR('Trial Pricing Calculator'!E15="RTD - NGS/Bulk Spirits",'Trial Pricing Calculator'!E15="Spirit Cooler"),Calculations!B5&lt;=7),((Calculations!B7)*Rates!U8),IF(AND('Trial Pricing Calculator'!E15="One-Pour Cocktail",Calculations!B5&gt;7),((Calculations!B7)*Rates!U7*Calculations!B5)*0.01,IF(AND('Trial Pricing Calculator'!E15="Wine Cooler",Calculations!B5&gt;7),((Calculations!B7)*Rates!U9),IF(AND('Trial Pricing Calculator'!E15="Wine Cooler",Calculations!B5&lt;=7),((Calculations!B7)*Rates!U10),IF(AND('Trial Pricing Calculator'!E15="Cider",Calculations!B5&gt;7),((Calculations!B7)*Rates!U9),IF(AND('Trial Pricing Calculator'!E15="Cider",Calculations!B5&lt;=7),((Calculations!B7)*Rates!U10),IF(AND('Trial Pricing Calculator'!E15="Malt Based Cooler",'Trial Pricing Calculator'!E28="Customs"),Calculations!B7*Rates!U6,0)))))))))</f>
        <v>0</v>
      </c>
      <c r="G7" s="12">
        <f>IFERROR(IF('Trial Pricing Calculator'!E28="Customs",Calculations!B7*Rates!U6,0),"0.0000")</f>
        <v>0</v>
      </c>
      <c r="J7" s="4"/>
      <c r="K7" s="5"/>
      <c r="L7" s="5"/>
      <c r="M7" s="5"/>
      <c r="N7" s="6"/>
      <c r="V7" s="182" t="s">
        <v>251</v>
      </c>
      <c r="W7" s="293" t="s">
        <v>25</v>
      </c>
      <c r="X7" s="294" t="s">
        <v>268</v>
      </c>
    </row>
    <row r="8" spans="1:24" x14ac:dyDescent="0.35">
      <c r="A8" s="113" t="s">
        <v>168</v>
      </c>
      <c r="B8" s="258">
        <f>B7*1000</f>
        <v>0</v>
      </c>
      <c r="D8" s="326" t="s">
        <v>25</v>
      </c>
      <c r="E8" s="327"/>
      <c r="F8" s="327"/>
      <c r="G8" s="328"/>
      <c r="J8" s="4"/>
      <c r="K8" s="5"/>
      <c r="L8" s="5"/>
      <c r="M8" s="5"/>
      <c r="N8" s="6"/>
      <c r="V8" s="184">
        <v>201</v>
      </c>
      <c r="W8" s="189">
        <v>40</v>
      </c>
      <c r="X8" s="295">
        <f>ROUND(1-(100/(W8+100)),6)</f>
        <v>0.28571400000000002</v>
      </c>
    </row>
    <row r="9" spans="1:24" x14ac:dyDescent="0.35">
      <c r="A9" s="113" t="s">
        <v>166</v>
      </c>
      <c r="B9" s="114">
        <f>'Trial Pricing Calculator'!E22</f>
        <v>0</v>
      </c>
      <c r="D9" s="32" t="s">
        <v>36</v>
      </c>
      <c r="E9" s="33" t="s">
        <v>16</v>
      </c>
      <c r="F9" s="33" t="s">
        <v>37</v>
      </c>
      <c r="G9" s="34" t="s">
        <v>12</v>
      </c>
      <c r="J9" s="21" t="s">
        <v>76</v>
      </c>
      <c r="K9" s="22" t="s">
        <v>76</v>
      </c>
      <c r="L9" s="22" t="s">
        <v>76</v>
      </c>
      <c r="M9" s="22" t="s">
        <v>76</v>
      </c>
      <c r="N9" s="23" t="s">
        <v>76</v>
      </c>
      <c r="V9" s="187">
        <v>200</v>
      </c>
      <c r="W9" s="190">
        <v>95</v>
      </c>
      <c r="X9" s="296">
        <f>ROUND(1-(100/(W9+100)),6)</f>
        <v>0.48717899999999997</v>
      </c>
    </row>
    <row r="10" spans="1:24" x14ac:dyDescent="0.35">
      <c r="A10" s="113" t="s">
        <v>167</v>
      </c>
      <c r="B10" s="115">
        <f>'Trial Pricing Calculator'!E23</f>
        <v>0</v>
      </c>
      <c r="D10" s="30">
        <f>J5</f>
        <v>0</v>
      </c>
      <c r="E10" s="19">
        <f t="shared" ref="E10" si="0">K5</f>
        <v>0</v>
      </c>
      <c r="F10" s="31">
        <f>L5</f>
        <v>0</v>
      </c>
      <c r="G10" s="36" t="str">
        <f>IF('Trial Pricing Calculator'!D9="","",ROUND(IF('Trial Pricing Calculator'!D9="MBLL DISTRIBUTION",Calculations!M5,Calculations!N5),4))</f>
        <v/>
      </c>
      <c r="H10" s="48"/>
      <c r="J10" s="29">
        <f>IFERROR(IF('Trial Pricing Calculator'!E16="Yes",Calculations!B13*0.4,Calculations!B13*1.53),0)</f>
        <v>0</v>
      </c>
      <c r="K10" s="29">
        <f>IFERROR(IF('Trial Pricing Calculator'!E16="Yes",Calculations!B13*0.4,Calculations!B13*0.95),0)</f>
        <v>0</v>
      </c>
      <c r="L10" s="29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Price"),Calculations!B47,IF(AND(OR('Trial Pricing Calculator'!E15="Cider",'Trial Pricing Calculator'!E15="Spirit Cooler",'Trial Pricing Calculator'!E15="Wine Cooler",'Trial Pricing Calculator'!E15="Malt Based Cooler",'Trial Pricing Calculator'!E15="One-Pour Cocktail"),'Trial Pricing Calculator'!D9="MBLL DISTRIBUTION",'Trial Pricing Calculator'!E16="Yes"),SUM(Calculations!B13*0.4),IF(AND('Trial Pricing Calculator'!D9="MBLL DISTRIBUTION",'Trial Pricing Calculator'!E16="Yes",'Trial Pricing Calculator'!E15="RTD - NGS/Bulk Spirits"),SUM(Calculations!B13*0.7),IF(AND('Trial Pricing Calculator'!D9="MBLL DISTRIBUTION",'Trial Pricing Calculator'!E16="No"),SUM(Calculations!B13*0.95),0))))))</f>
        <v>0</v>
      </c>
      <c r="M10" s="28">
        <f>IFERROR(IF(AND('Trial Pricing Calculator'!D9="MBLL DISTRIBUTION",'Trial Pricing Calculator'!E16="Yes"),SUM(B13*0.36),SUM(B13*0.75)),"")</f>
        <v>0</v>
      </c>
      <c r="N10" s="29" t="str">
        <f>IF('Trial Pricing Calculator'!K9="Gross Price to Brewer",Calculations!B39,IF('Trial Pricing Calculator'!K9="Retail Price",Calculations!B43,IF('Trial Pricing Calculator'!K9="Licensee Price",Calculations!B47,"")))</f>
        <v/>
      </c>
      <c r="V10" s="299" t="s">
        <v>270</v>
      </c>
      <c r="W10" s="300"/>
      <c r="X10" s="301"/>
    </row>
    <row r="11" spans="1:24" x14ac:dyDescent="0.35">
      <c r="A11" s="113" t="s">
        <v>165</v>
      </c>
      <c r="B11" s="114">
        <f>IF('Trial Pricing Calculator'!E26="Canada",VLOOKUP('Trial Pricing Calculator'!E27,Rates!N:O,2,0),IF('Trial Pricing Calculator'!E26="USA",VLOOKUP('Trial Pricing Calculator'!E27,Rates!P:Q,2,0),IF('Trial Pricing Calculator'!E26="International",VLOOKUP('Trial Pricing Calculator'!E27,Rates!R:S,2,0),0)))</f>
        <v>0</v>
      </c>
      <c r="D11" s="326" t="s">
        <v>1</v>
      </c>
      <c r="E11" s="327"/>
      <c r="F11" s="327"/>
      <c r="G11" s="328"/>
      <c r="J11" s="24"/>
      <c r="K11" s="25"/>
      <c r="L11" s="25"/>
      <c r="M11" s="25"/>
      <c r="N11" s="26"/>
      <c r="P11" s="302" t="s">
        <v>12</v>
      </c>
      <c r="Q11" s="302"/>
      <c r="R11" s="302"/>
      <c r="S11" s="302"/>
      <c r="T11" s="302"/>
      <c r="V11" s="182" t="s">
        <v>251</v>
      </c>
      <c r="W11" s="293" t="s">
        <v>25</v>
      </c>
      <c r="X11" s="294" t="s">
        <v>268</v>
      </c>
    </row>
    <row r="12" spans="1:24" x14ac:dyDescent="0.35">
      <c r="A12" s="116" t="s">
        <v>237</v>
      </c>
      <c r="B12" s="117">
        <f>'Trial Pricing Calculator'!E21</f>
        <v>0</v>
      </c>
      <c r="D12" s="13" t="s">
        <v>36</v>
      </c>
      <c r="E12" s="14" t="s">
        <v>16</v>
      </c>
      <c r="F12" s="14" t="s">
        <v>37</v>
      </c>
      <c r="G12" s="15" t="s">
        <v>12</v>
      </c>
      <c r="J12" s="290" t="s">
        <v>0</v>
      </c>
      <c r="K12" s="291" t="s">
        <v>0</v>
      </c>
      <c r="L12" s="291" t="s">
        <v>0</v>
      </c>
      <c r="M12" s="291" t="s">
        <v>0</v>
      </c>
      <c r="N12" s="292" t="s">
        <v>0</v>
      </c>
      <c r="P12" s="302" t="s">
        <v>251</v>
      </c>
      <c r="Q12" s="302" t="s">
        <v>252</v>
      </c>
      <c r="R12" s="302"/>
      <c r="S12" s="302" t="s">
        <v>25</v>
      </c>
      <c r="T12" s="302"/>
      <c r="V12" s="183">
        <v>301</v>
      </c>
      <c r="W12" s="189">
        <v>40</v>
      </c>
      <c r="X12" s="295">
        <f>ROUND(1-(100/(W12+100)),6)</f>
        <v>0.28571400000000002</v>
      </c>
    </row>
    <row r="13" spans="1:24" x14ac:dyDescent="0.35">
      <c r="A13" s="110" t="s">
        <v>137</v>
      </c>
      <c r="B13" s="111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10">
        <f>ROUND(IF('Trial Pricing Calculator'!E16="Yes",Calculations!B7*Rates!AB6,(Calculations!B7*Rates!W6)),4)</f>
        <v>0</v>
      </c>
      <c r="E13" s="16">
        <f>ROUND(IF('Trial Pricing Calculator'!E16="Yes",Calculations!B7*Rates!AB7,(Calculations!B7*Rates!W7)),4)</f>
        <v>0</v>
      </c>
      <c r="F13" s="11">
        <f>ROUND(IF('Trial Pricing Calculator'!E16="Yes",Calculations!B7*Rates!AB8,(Calculations!B7*Rates!W8)),4)</f>
        <v>0</v>
      </c>
      <c r="G13" s="17">
        <f>ROUND(IF('Trial Pricing Calculator'!E16="Yes",Calculations!B7*Rates!AB9,(Calculations!B7*Rates!W9)),4)</f>
        <v>0</v>
      </c>
      <c r="J13" s="118">
        <f>IFERROR(IF(AND('Trial Pricing Calculator'!D9="MBLL DISTRIBUTION",'Trial Pricing Calculator'!E14="Spirit",'Trial Pricing Calculator'!E16="No"),Q2*Calculations!B7,0),0)</f>
        <v>0</v>
      </c>
      <c r="K13" s="29">
        <f>IFERROR(IF(AND('Trial Pricing Calculator'!D9="MBLL DISTRIBUTION",'Trial Pricing Calculator'!E14="Wine",'Trial Pricing Calculator'!E16="No"),Q3*Calculations!B7,0),0)</f>
        <v>0</v>
      </c>
      <c r="L13" s="29">
        <f>IFERROR(IF(AND('Trial Pricing Calculator'!E16="Yes",'Trial Pricing Calculator'!E14="Ready_to_Drink"),0,SUM(Q4*Calculations!B7)),"0")</f>
        <v>0</v>
      </c>
      <c r="M13" s="29">
        <f>IF(AND('Trial Pricing Calculator'!D9="MBLL DISTRIBUTION",'Trial Pricing Calculator'!E14="Beer",'Trial Pricing Calculator'!E16="No"),SUM(Q6*Calculations!B7),0)</f>
        <v>0</v>
      </c>
      <c r="N13" s="28">
        <f>IFERROR(IF(AND('Trial Pricing Calculator'!D9="PRIVATE DISTRIBUTION",'Trial Pricing Calculator'!E14="Beer",'Trial Pricing Calculator'!E16="Yes"),0,SUM(Q5*Calculations!B7,0)),0)</f>
        <v>0</v>
      </c>
      <c r="P13" s="302">
        <v>1</v>
      </c>
      <c r="Q13" s="303">
        <v>10</v>
      </c>
      <c r="R13" s="302">
        <f>ROUND(1-(100/(Q13+100)),6)</f>
        <v>9.0909000000000004E-2</v>
      </c>
      <c r="S13" s="303">
        <v>36</v>
      </c>
      <c r="T13" s="302">
        <f>ROUND(1-(100/(S13+100)),6)</f>
        <v>0.264706</v>
      </c>
      <c r="V13" s="183">
        <v>302</v>
      </c>
      <c r="W13" s="189">
        <v>70</v>
      </c>
      <c r="X13" s="295">
        <f>ROUND(1-(100/(W13+100)),6)</f>
        <v>0.41176499999999999</v>
      </c>
    </row>
    <row r="14" spans="1:24" x14ac:dyDescent="0.35">
      <c r="B14" s="106"/>
      <c r="D14" s="326" t="s">
        <v>134</v>
      </c>
      <c r="E14" s="327"/>
      <c r="F14" s="327"/>
      <c r="G14" s="328"/>
      <c r="J14" s="24"/>
      <c r="K14" s="25"/>
      <c r="L14" s="5"/>
      <c r="M14" s="5"/>
      <c r="N14" s="6"/>
      <c r="P14" s="302">
        <v>0</v>
      </c>
      <c r="Q14" s="303">
        <v>49</v>
      </c>
      <c r="R14" s="302">
        <f>ROUND(1-(100/(Q14+100)),6)</f>
        <v>0.32885900000000001</v>
      </c>
      <c r="S14" s="303">
        <v>17</v>
      </c>
      <c r="T14" s="302">
        <f>ROUND(1-(100/(S14+100)),6)</f>
        <v>0.14529900000000001</v>
      </c>
      <c r="V14" s="187">
        <v>300</v>
      </c>
      <c r="W14" s="190">
        <v>95</v>
      </c>
      <c r="X14" s="296">
        <f>ROUND(1-(100/(W14+100)),6)</f>
        <v>0.48717899999999997</v>
      </c>
    </row>
    <row r="15" spans="1:24" x14ac:dyDescent="0.35">
      <c r="A15" s="108" t="s">
        <v>291</v>
      </c>
      <c r="B15" s="109">
        <f>IF('Trial Pricing Calculator'!E14="",0,IF(AND('Trial Pricing Calculator'!D9="MBLL DISTRIBUTION",'Trial Pricing Calculator'!E18="Yes"),SUM('Trial Pricing Calculator'!L20:L25)+Calculations!B13))</f>
        <v>0</v>
      </c>
      <c r="D15" s="13" t="s">
        <v>36</v>
      </c>
      <c r="E15" s="14" t="s">
        <v>16</v>
      </c>
      <c r="F15" s="14" t="s">
        <v>37</v>
      </c>
      <c r="G15" s="15" t="s">
        <v>12</v>
      </c>
      <c r="J15" s="24"/>
      <c r="K15" s="25"/>
      <c r="L15" s="5"/>
      <c r="M15" s="5"/>
      <c r="N15" s="6"/>
      <c r="V15" s="277" t="s">
        <v>271</v>
      </c>
      <c r="W15" s="278"/>
      <c r="X15" s="279"/>
    </row>
    <row r="16" spans="1:24" x14ac:dyDescent="0.35">
      <c r="D16" s="1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16">
        <f>IF('Trial Pricing Calculator'!E26="Canada",0,IF('Trial Pricing Calculator'!E26="USA",Calculations!B7*0.15,Calculations!B7*0.44))</f>
        <v>0</v>
      </c>
      <c r="F16" s="11">
        <f>IF('Trial Pricing Calculator'!E26="Canada",0,IF('Trial Pricing Calculator'!E26="USA",Calculations!B7*0.22,Calculations!B7*0.41))</f>
        <v>0</v>
      </c>
      <c r="G16" s="17">
        <f>IF('Trial Pricing Calculator'!E26="Canada",0,IF('Trial Pricing Calculator'!E26="USA",Calculations!B7*0.57,Calculations!B7*0.64))</f>
        <v>0</v>
      </c>
      <c r="J16" s="24"/>
      <c r="K16" s="25"/>
      <c r="L16" s="5"/>
      <c r="M16" s="5"/>
      <c r="N16" s="6"/>
      <c r="V16" s="182" t="s">
        <v>239</v>
      </c>
      <c r="W16" s="297" t="s">
        <v>252</v>
      </c>
      <c r="X16" s="298"/>
    </row>
    <row r="17" spans="1:24" x14ac:dyDescent="0.35">
      <c r="A17" s="150" t="s">
        <v>250</v>
      </c>
      <c r="B17" s="230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26" t="s">
        <v>135</v>
      </c>
      <c r="E17" s="327"/>
      <c r="F17" s="327"/>
      <c r="G17" s="328"/>
      <c r="J17" s="24"/>
      <c r="K17" s="25"/>
      <c r="L17" s="5"/>
      <c r="M17" s="5"/>
      <c r="N17" s="6"/>
      <c r="V17" s="183">
        <v>1401</v>
      </c>
      <c r="W17" s="185">
        <v>10</v>
      </c>
      <c r="X17" s="295">
        <f>ROUND(1-(100/(W17+100)),6)</f>
        <v>9.0909000000000004E-2</v>
      </c>
    </row>
    <row r="18" spans="1:24" x14ac:dyDescent="0.35">
      <c r="A18" s="150" t="s">
        <v>246</v>
      </c>
      <c r="B18" s="256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13" t="s">
        <v>36</v>
      </c>
      <c r="E18" s="14" t="s">
        <v>16</v>
      </c>
      <c r="F18" s="14" t="s">
        <v>37</v>
      </c>
      <c r="G18" s="15" t="s">
        <v>12</v>
      </c>
      <c r="J18" s="4"/>
      <c r="K18" s="5"/>
      <c r="L18" s="5"/>
      <c r="M18" s="5"/>
      <c r="N18" s="6"/>
      <c r="V18" s="187">
        <v>1400</v>
      </c>
      <c r="W18" s="188">
        <v>49</v>
      </c>
      <c r="X18" s="296">
        <f>ROUND(1-(100/(W18+100)),6)</f>
        <v>0.32885900000000001</v>
      </c>
    </row>
    <row r="19" spans="1:24" x14ac:dyDescent="0.35">
      <c r="A19" s="150" t="s">
        <v>259</v>
      </c>
      <c r="B19" s="256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10">
        <f>IF(B12=0.05,Rates!Z20*Calculations!B9,IF(Calculations!B12=0.2,Rates!Z24*Calculations!B9,IF(Calculations!B12=0.375,Rates!Z25*Calculations!B9,IF(Calculations!B12=1.14,Rates!Z21*Calculations!B9,IF(Calculations!B12=1.75,Rates!Z24*Calculations!B9,0)))))</f>
        <v>0</v>
      </c>
      <c r="E19" s="19">
        <f>IF(B12&lt;0.75,0,IF(OR(B12=0.75,B12=1),Rates!Z21*Calculations!B9,IF(B12=1.5,Rates!Z27*Calculations!B9,IF(B12=2,Rates!Z28*Calculations!B9,IF(B12=3,Rates!Z29*Calculations!B9,IF(OR(B12=4,B12=5,B12=6),Rates!Z30*Calculations!B9,IF(OR(B12=7,B12=8,B12=9,B12=10),Rates!Z31*Calculations!B9,IF(B12=19.5,Rates!Z32*Calculations!B9,IF(B12=15,Rates!Z33*Calculations!B9,IF(B12=16,Rates!Z34*Calculations!B9,IF(B12=18,Rates!Z36*Calculations!B9,IF(B12=19,Rates!Z35*Calculations!B9,IF(B12=20,Rates!Z37*Calculations!B9,IF(B12=22,Rates!Z38*Calculations!B9,0))))))))))))))</f>
        <v>0</v>
      </c>
      <c r="F19" s="11">
        <f>IF(AND(B12&gt;0.049,B12&lt;0.401),SUM(Rates!Z12*B9),IF(AND(B12&gt;0.4,B12&lt;0.47),SUM(Rates!Z13*B9),IF(AND(B12&gt;0.469,B12&lt;0.66),SUM(Rates!Z14*B9),IF(AND(B12&gt;0.659,B12&lt;0.75),SUM(Rates!Z15*B9),IF(AND(B12&gt;0.749,B12&lt;0.9),SUM(Rates!Z16*B9),IF(AND(B12&gt;0.899,B12&lt;1),SUM(Rates!Z17*B9),IF(B12=1,SUM(Rates!Z18*B9),IF(B12=1.14,SUM(Rates!Z19*B9),IF(B12=1.75,SUM(Rates!Z21*B9),IF(B12=2,SUM(Rates!Z22*B9),IF(B12=3,SUM(Rates!AB23*B9),0)))))))))))</f>
        <v>0</v>
      </c>
      <c r="G19" s="18">
        <f>IF(AND(B9=24,B10="Bottle"),Rates!Z8*B9,IF(AND(B9=8,B10="Can"),Rates!Z11*B9,IF(AND(B9=15,B10="Can"),Rates!Z6*B9,IF(AND(B9=20,B10="Can"),Rates!Z7*B9,IF(AND(B9=30,B10="Can"),Rates!Z9*B9,IF(AND(B9=36,B10="Can"),Rates!Z10*B9,0))))))</f>
        <v>0</v>
      </c>
      <c r="J19" s="4"/>
      <c r="K19" s="5"/>
      <c r="L19" s="5"/>
      <c r="M19" s="5"/>
      <c r="N19" s="6"/>
      <c r="V19" s="277" t="s">
        <v>272</v>
      </c>
      <c r="W19" s="278"/>
      <c r="X19" s="279"/>
    </row>
    <row r="20" spans="1:24" ht="26.5" x14ac:dyDescent="0.35">
      <c r="J20" s="4"/>
      <c r="K20" s="5"/>
      <c r="L20" s="5"/>
      <c r="M20" s="5"/>
      <c r="N20" s="6"/>
      <c r="V20" s="182" t="s">
        <v>239</v>
      </c>
      <c r="W20" s="297" t="s">
        <v>273</v>
      </c>
      <c r="X20" s="298"/>
    </row>
    <row r="21" spans="1:24" x14ac:dyDescent="0.35">
      <c r="A21" s="157" t="s">
        <v>258</v>
      </c>
      <c r="B21" s="165">
        <f>IF(Calculations!B10="Keg",0,ROUND(IF(AND('Trial Pricing Calculator'!D9="PRIVATE DISTRIBUTION",'Trial Pricing Calculator'!E14="Beer"),0.0283*Calculations!B9),4))</f>
        <v>0</v>
      </c>
      <c r="J21" s="138" t="s">
        <v>115</v>
      </c>
      <c r="K21" s="139" t="s">
        <v>115</v>
      </c>
      <c r="L21" s="139" t="s">
        <v>115</v>
      </c>
      <c r="M21" s="140" t="s">
        <v>115</v>
      </c>
      <c r="N21" s="6"/>
      <c r="V21" s="183">
        <v>401</v>
      </c>
      <c r="W21" s="185">
        <f>W17+26</f>
        <v>36</v>
      </c>
      <c r="X21" s="295">
        <f>ROUND(1-(100/(W21+100)),6)</f>
        <v>0.264706</v>
      </c>
    </row>
    <row r="22" spans="1:24" x14ac:dyDescent="0.35">
      <c r="J22" s="28">
        <f>IF(B8&lt;60,SUM(B7*'Trial Pricing Calculator'!E24*SRP!E4),IF(AND(B8&gt;=60,B8&lt;100),SUM(B7*'Trial Pricing Calculator'!E24*SRP!E5),IF(AND(B8&gt;=100,B8&lt;300),SUM(B7*'Trial Pricing Calculator'!E24*SRP!E6),IF(AND(B8&gt;=300,B8&lt;400),SUM(B7*'Trial Pricing Calculator'!E24*SRP!E7),IF(AND(B8&gt;=400,B8&lt;=699),SUM(B7*'Trial Pricing Calculator'!E24*SRP!E8),IF(B8&gt;=700,SUM(B7*'Trial Pricing Calculator'!E24*SRP!E9),0))))))</f>
        <v>0</v>
      </c>
      <c r="K22" s="29">
        <f>IF(B8&lt;100,SUM(B7*'Trial Pricing Calculator'!E24*SRP!E23),IF(AND(B8&gt;=100,B8&lt;375),SUM(B7*'Trial Pricing Calculator'!E24*SRP!E24),IF(AND(B8&gt;=375,B8&lt;=699),SUM(B7*'Trial Pricing Calculator'!E24*SRP!E25),IF(AND(B8&gt;=700,B8&lt;=3999),SUM(B7*'Trial Pricing Calculator'!E24*SRP!E26),IF(B8&gt;=4000,SUM(B7*'Trial Pricing Calculator'!E24*SRP!E27),0)))))</f>
        <v>0</v>
      </c>
      <c r="L22" s="28">
        <f>IF(B8&lt;100,SUM(B7*'Trial Pricing Calculator'!E24*SRP!E13),IF(AND(B8&gt;=100,B8&lt;250),SUM(B7*'Trial Pricing Calculator'!E24*SRP!E14),IF(AND(B8&gt;=250,B8&lt;=399),SUM(B7*'Trial Pricing Calculator'!E24*SRP!E15),IF(AND(B8&gt;=400,B8&lt;=699),SUM(B7*'Trial Pricing Calculator'!E24*SRP!E16),IF(B8&gt;=700,SUM(B7*'Trial Pricing Calculator'!E24*SRP!E17),0)))))</f>
        <v>0</v>
      </c>
      <c r="M22" s="28">
        <f>IF(B8&lt;10000,SUM(B7*'Trial Pricing Calculator'!E24*SRP!E10),IF(AND(B8&gt;=10000,B8&lt;20000),SUM(B7*'Trial Pricing Calculator'!E24*SRP!E11),IF(B8&gt;=20000,SUM(B7*'Trial Pricing Calculator'!E24*SRP!E12),0)))</f>
        <v>0</v>
      </c>
      <c r="N22" s="6"/>
      <c r="V22" s="187">
        <v>400</v>
      </c>
      <c r="W22" s="188">
        <f>W18+26</f>
        <v>75</v>
      </c>
      <c r="X22" s="296">
        <f>ROUND(1-(100/(W22+100)),6)</f>
        <v>0.42857099999999998</v>
      </c>
    </row>
    <row r="23" spans="1:24" x14ac:dyDescent="0.35">
      <c r="J23" s="20"/>
      <c r="K23" s="139" t="s">
        <v>18</v>
      </c>
      <c r="L23" s="139" t="s">
        <v>159</v>
      </c>
      <c r="M23" s="5"/>
      <c r="N23" s="6"/>
      <c r="V23" s="181"/>
      <c r="W23" s="185"/>
      <c r="X23" s="186"/>
    </row>
    <row r="24" spans="1:24" x14ac:dyDescent="0.35">
      <c r="J24" s="4"/>
      <c r="K24" s="29">
        <f>IF(B8&lt;100,SUM(B7*'Trial Pricing Calculator'!E24*SRP!E28),IF(AND(B8&gt;=100,B8&lt;375),SUM(B7*'Trial Pricing Calculator'!E24*SRP!E29),IF(AND(B8&gt;=375,B8&lt;=699),SUM(B7*'Trial Pricing Calculator'!E24*SRP!E30),IF(B8&gt;=700,SUM(B7*'Trial Pricing Calculator'!E24*SRP!E31),0))))</f>
        <v>0</v>
      </c>
      <c r="L24" s="28">
        <f>IF(B8&lt;100,SUM(B7*'Trial Pricing Calculator'!E24*SRP!E18),IF(AND(B8&gt;=100,B8&lt;250),SUM(B7*'Trial Pricing Calculator'!E24*SRP!E19),IF(AND(B8&gt;=250,B8&lt;=399),SUM(B7*'Trial Pricing Calculator'!E24*SRP!E20),IF(AND(B8&gt;=400,B8&lt;=699),SUM(B7*'Trial Pricing Calculator'!E24*SRP!E21),IF(B8&gt;=700,SUM(B7*'Trial Pricing Calculator'!E24*SRP!E22),0)))))</f>
        <v>0</v>
      </c>
      <c r="M24" s="141" t="s">
        <v>123</v>
      </c>
      <c r="N24" s="6"/>
    </row>
    <row r="25" spans="1:24" x14ac:dyDescent="0.35">
      <c r="A25" s="175" t="s">
        <v>262</v>
      </c>
      <c r="B25" s="176"/>
      <c r="C25" s="176"/>
      <c r="D25" s="176"/>
      <c r="E25" s="176"/>
      <c r="F25" s="176"/>
      <c r="G25" s="174"/>
      <c r="J25" s="4"/>
      <c r="K25" s="5"/>
      <c r="L25" s="5"/>
      <c r="M25" s="142" t="s">
        <v>2</v>
      </c>
      <c r="N25" s="6"/>
    </row>
    <row r="26" spans="1:24" x14ac:dyDescent="0.35">
      <c r="A26" s="177" t="s">
        <v>248</v>
      </c>
      <c r="B26" s="178"/>
      <c r="C26" s="178"/>
      <c r="D26" s="178"/>
      <c r="E26" s="178"/>
      <c r="F26" s="178"/>
      <c r="G26" s="179"/>
      <c r="H26" s="97"/>
      <c r="I26" s="97"/>
      <c r="J26" s="4"/>
      <c r="K26" s="5"/>
      <c r="L26" s="5"/>
      <c r="M26" s="143">
        <v>1.1000000000000001</v>
      </c>
      <c r="N26" s="6"/>
    </row>
    <row r="27" spans="1:24" x14ac:dyDescent="0.35">
      <c r="A27" s="158" t="s">
        <v>263</v>
      </c>
      <c r="B27" s="158" t="s">
        <v>137</v>
      </c>
      <c r="C27" s="158" t="s">
        <v>265</v>
      </c>
      <c r="D27" s="198" t="s">
        <v>250</v>
      </c>
      <c r="E27" s="158" t="s">
        <v>288</v>
      </c>
      <c r="F27" s="158" t="s">
        <v>289</v>
      </c>
      <c r="G27" s="158" t="s">
        <v>249</v>
      </c>
      <c r="H27" s="201" t="s">
        <v>290</v>
      </c>
      <c r="J27" s="4"/>
      <c r="K27" s="5"/>
      <c r="L27" s="5"/>
      <c r="M27" s="144" t="s">
        <v>3</v>
      </c>
      <c r="N27" s="6"/>
    </row>
    <row r="28" spans="1:24" x14ac:dyDescent="0.35">
      <c r="A28" s="168" t="str">
        <f>IFERROR(IF('Trial Pricing Calculator'!D9="","",IF('Trial Pricing Calculator'!K9="Case Cost",ROUND(B3/B6*B4,4),"")),0)</f>
        <v/>
      </c>
      <c r="B28" s="149" t="str">
        <f>IF('Trial Pricing Calculator'!D9="","",IF('Trial Pricing Calculator'!K9="Case Cost",ROUND(Calculations!B13,4),""))</f>
        <v/>
      </c>
      <c r="C28" s="149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199" t="str">
        <f>IF('Trial Pricing Calculator'!K9="Case Cost",ROUND(SUM(B13+'Trial Pricing Calculator'!L20+'Trial Pricing Calculator'!L21+'Trial Pricing Calculator'!L22+'Trial Pricing Calculator'!L23),2),"")</f>
        <v/>
      </c>
      <c r="E28" s="191" t="str">
        <f>IFERROR(IF(AND('Trial Pricing Calculator'!D9="MBLL DISTRIBUTION",'Trial Pricing Calculator'!E14="Beer",'Trial Pricing Calculator'!E16="Yes"),ROUND(SUM(B28*0.1),4),ROUND(SUM(B28*0.49),4)),"")</f>
        <v/>
      </c>
      <c r="F28" s="191">
        <f>MAX(E28,H28)</f>
        <v>0</v>
      </c>
      <c r="G28" s="164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148">
        <f>IF(AND('Trial Pricing Calculator'!D9="MBLL DISTRIBUTION",'Trial Pricing Calculator'!E14="Beer",'Trial Pricing Calculator'!E16="No"),N13,0)</f>
        <v>0</v>
      </c>
      <c r="J28" s="4"/>
      <c r="K28" s="5"/>
      <c r="L28" s="5"/>
      <c r="M28" s="145">
        <v>1.68</v>
      </c>
      <c r="N28" s="6">
        <v>0.105145</v>
      </c>
    </row>
    <row r="29" spans="1:24" x14ac:dyDescent="0.35">
      <c r="J29" s="8"/>
      <c r="K29" s="31"/>
      <c r="L29" s="31"/>
      <c r="M29" s="31"/>
      <c r="N29" s="12"/>
    </row>
    <row r="30" spans="1:24" x14ac:dyDescent="0.35">
      <c r="A30" s="153" t="s">
        <v>253</v>
      </c>
      <c r="B30" s="154"/>
      <c r="C30" s="154"/>
      <c r="D30" s="154"/>
      <c r="E30" s="154"/>
      <c r="F30" s="172"/>
      <c r="G30" s="172"/>
      <c r="H30" s="172"/>
      <c r="I30" s="173"/>
      <c r="J30" s="5"/>
      <c r="K30" s="5"/>
      <c r="L30" s="5"/>
      <c r="M30" s="5"/>
      <c r="N30" s="5"/>
    </row>
    <row r="31" spans="1:24" x14ac:dyDescent="0.35">
      <c r="A31" s="158" t="s">
        <v>263</v>
      </c>
      <c r="B31" s="158" t="s">
        <v>264</v>
      </c>
      <c r="C31" s="158" t="s">
        <v>137</v>
      </c>
      <c r="D31" s="158" t="s">
        <v>274</v>
      </c>
      <c r="E31" s="158" t="s">
        <v>265</v>
      </c>
      <c r="F31" s="158" t="s">
        <v>266</v>
      </c>
      <c r="G31" s="198" t="s">
        <v>250</v>
      </c>
      <c r="H31" s="158" t="s">
        <v>267</v>
      </c>
      <c r="I31" s="158" t="s">
        <v>249</v>
      </c>
      <c r="K31" s="5"/>
      <c r="L31" s="5"/>
      <c r="M31" s="5"/>
      <c r="N31" s="5"/>
    </row>
    <row r="32" spans="1:24" x14ac:dyDescent="0.35">
      <c r="A32" s="168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192" t="str">
        <f>IF('Trial Pricing Calculator'!D9="","",IF(AND('Trial Pricing Calculator'!D9="MBLL DISTRIBUTION",'Trial Pricing Calculator'!K9="Retail Price"),ROUND(SUM(A32/B4),4),""))</f>
        <v/>
      </c>
      <c r="C32" s="148" t="str">
        <f>IF('Trial Pricing Calculator'!D9="","",IF('Trial Pricing Calculator'!K9="Retail Price",ROUND(F32-E32,4),""))</f>
        <v/>
      </c>
      <c r="D32" s="149" t="str">
        <f>IF('Trial Pricing Calculator'!D9="","",IF(AND('Trial Pricing Calculator'!K9="Retail Price",'Trial Pricing Calculator'!E16="Yes",'Trial Pricing Calculator'!E14="Spirit"),ROUND($X$4*Calculations!F32,4),IF(AND('Trial Pricing Calculator'!K9="Retail Price",'Trial Pricing Calculator'!E16="No",'Trial Pricing Calculator'!E14="Spirit"),ROUND($X$5*Calculations!F32,4),IF(AND('Trial Pricing Calculator'!K9="Retail Price",'Trial Pricing Calculator'!E16="Yes",'Trial Pricing Calculator'!E14="Wine"),ROUND($X$8*Calculations!F32,4),IF(AND('Trial Pricing Calculator'!K9="Retail Price",'Trial Pricing Calculator'!E16="No",'Trial Pricing Calculator'!E14="Wine"),ROUND($X$9*Calculations!F32,4),IF(AND('Trial Pricing Calculator'!K9="Retail Price",'Trial Pricing Calculator'!E16="Yes",'Trial Pricing Calculator'!E14="Ready_to_Drink",'Trial Pricing Calculator'!E15="RTD - NGS/Bulk Spirits"),ROUND(Calculations!$X$13*Calculations!F32,4),IF(AND('Trial Pricing Calculator'!K9="Retail Price",'Trial Pricing Calculator'!E16="Yes",'Trial Pricing Calculator'!E14="Ready_to_Drink"),ROUND(Calculations!$X$12*Calculations!F32,4),IF(AND('Trial Pricing Calculator'!K9="Retail Price",'Trial Pricing Calculator'!E16="No",'Trial Pricing Calculator'!E14="Ready_to_Drink"),ROUND(Calculations!X14*Calculations!F32,4),IF(AND('Trial Pricing Calculator'!K9="Retail Price",'Trial Pricing Calculator'!E16="Yes",'Trial Pricing Calculator'!E14="Beer"),ROUND(Calculations!$X$21*Calculations!F32,4),IF(AND('Trial Pricing Calculator'!K9="Retail Price",'Trial Pricing Calculator'!E16="No",'Trial Pricing Calculator'!E14="Beer"),ROUND(Calculations!$X$22*Calculations!F32,6),""))))))))))</f>
        <v/>
      </c>
      <c r="E32" s="149" t="str">
        <f>IF('Trial Pricing Calculator'!D9="","",IF(AND('Trial Pricing Calculator'!D9="MBLL DISTRIBUTION",'Trial Pricing Calculator'!K9="Retail Price"),MAX(Calculations!D32,Calculations!D34),""))</f>
        <v/>
      </c>
      <c r="F32" s="191" t="str">
        <f>IF('Trial Pricing Calculator'!D9="","",IF(AND('Trial Pricing Calculator'!D9="MBLL DISTRIBUTION",'Trial Pricing Calculator'!K9="Retail Price"),ROUND(SUM(G32-SUM('Trial Pricing Calculator'!L21:L25)),4),""))</f>
        <v/>
      </c>
      <c r="G32" s="200" t="str">
        <f>IF('Trial Pricing Calculator'!D9="","",IF(AND('Trial Pricing Calculator'!D9="MBLL DISTRIBUTION",'Trial Pricing Calculator'!K9="Retail Price"),Calculations!B17,""))</f>
        <v/>
      </c>
      <c r="H32" s="149">
        <f>IFERROR(IF(AND('Trial Pricing Calculator'!D9="MBLL DISTRIBUTION",'Trial Pricing Calculator'!E14="Beer",'Trial Pricing Calculator'!E16="No"),ROUND(SUM(Calculations!C32*49%),4),ROUND(SUM(C32*10%),4)),0)</f>
        <v>0</v>
      </c>
      <c r="I32" s="193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48"/>
      <c r="K32" s="5"/>
      <c r="L32" s="5"/>
      <c r="M32" s="5"/>
      <c r="N32" s="5"/>
    </row>
    <row r="33" spans="1:14" x14ac:dyDescent="0.35">
      <c r="D33" s="158" t="s">
        <v>0</v>
      </c>
      <c r="H33" s="158" t="s">
        <v>308</v>
      </c>
      <c r="I33" t="s">
        <v>309</v>
      </c>
      <c r="J33" s="5"/>
      <c r="K33" s="197"/>
      <c r="L33" s="5"/>
      <c r="M33" s="5"/>
      <c r="N33" s="5"/>
    </row>
    <row r="34" spans="1:14" x14ac:dyDescent="0.35">
      <c r="A34" s="1"/>
      <c r="D34" s="149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149">
        <f>IF(AND('Trial Pricing Calculator'!D9="MBLL DISTRIBUTION",'Trial Pricing Calculator'!E14="Beer",'Trial Pricing Calculator'!E16="No"),ROUND(SUM(Calculations!B7*Q5),4),0)</f>
        <v>0</v>
      </c>
      <c r="I34" s="149">
        <f>IF((H32&lt;H34),H34,H32)</f>
        <v>0</v>
      </c>
      <c r="J34" s="197"/>
      <c r="K34" s="5"/>
      <c r="L34" s="5"/>
      <c r="M34" s="5"/>
      <c r="N34" s="5"/>
    </row>
    <row r="35" spans="1:14" x14ac:dyDescent="0.35">
      <c r="H35" s="48"/>
      <c r="J35" s="5"/>
      <c r="K35" s="5"/>
      <c r="L35" s="5"/>
      <c r="M35" s="5"/>
      <c r="N35" s="5"/>
    </row>
    <row r="36" spans="1:14" x14ac:dyDescent="0.35">
      <c r="A36" s="147" t="s">
        <v>247</v>
      </c>
      <c r="J36" s="9"/>
      <c r="K36" s="9"/>
      <c r="L36" s="9"/>
      <c r="M36" s="9"/>
      <c r="N36" s="9"/>
    </row>
    <row r="37" spans="1:14" x14ac:dyDescent="0.35">
      <c r="A37" s="153" t="s">
        <v>248</v>
      </c>
      <c r="B37" s="154"/>
      <c r="C37" s="154"/>
      <c r="D37" s="154"/>
      <c r="E37" s="154"/>
      <c r="F37" s="155"/>
      <c r="G37" s="156"/>
      <c r="J37" s="9"/>
      <c r="K37" s="9" t="str" cm="1">
        <f t="array" ref="K37">IF(E14="","",IF(E14="Spirit",Spirit,IF(E14="Wine",Wine,IF(AND(D9="MBLL DISTRIBUTION",E14="Ready_to_Drink"),Ready_to_Drink,IF(AND(D9="PRIVATE DISTRIBUTION",E14="Ready_to_Drink"),Ready_to_Drink_Private,IF(E14="Beer",Beer,""))))))</f>
        <v/>
      </c>
      <c r="L37" s="9"/>
      <c r="M37" s="9"/>
      <c r="N37" s="9"/>
    </row>
    <row r="38" spans="1:14" x14ac:dyDescent="0.35">
      <c r="A38" s="158" t="s">
        <v>246</v>
      </c>
      <c r="B38" s="158" t="s">
        <v>76</v>
      </c>
      <c r="C38" s="158" t="s">
        <v>25</v>
      </c>
      <c r="D38" s="158" t="s">
        <v>249</v>
      </c>
      <c r="E38" s="158" t="s">
        <v>76</v>
      </c>
      <c r="F38" s="198" t="s">
        <v>250</v>
      </c>
      <c r="G38" s="201" t="s">
        <v>275</v>
      </c>
      <c r="J38" s="9"/>
      <c r="K38" s="9"/>
      <c r="L38" s="9"/>
      <c r="M38" s="9"/>
      <c r="N38" s="9"/>
    </row>
    <row r="39" spans="1:14" x14ac:dyDescent="0.35">
      <c r="A39" s="168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149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Calculator'!E16="No"),ROUND(SUM(Calculations!$A$39*0.49),4),IF(AND(OR('Trial Pricing Calculator'!E15="Cider",'Trial Pricing Calculator'!E15="Spirit Cooler",'Trial Pricing Calculator'!E15="Wine Cooler",'Trial Pricing Calculator'!E15="Malt Based Cooler"),'Trial Pricing Calculator'!E16="Yes"),ROUND(SUM(Calculations!A39*0.4),4),IF(AND('Trial Pricing Calculator'!E16="Yes",'Trial Pricing Calculator'!E15="RTD - NGS/Bulk Spirits"),ROUND(SUM(Calculations!A39*0.7),4),IF(AND('Trial Pricing Calculator'!E14="Ready_to_Drink",'Trial Pricing Calculator'!E16="No"),ROUND(SUM(Calculations!A39*0.95),4),""))))))</f>
        <v/>
      </c>
      <c r="C39" s="149" t="b">
        <f>IF(A39="","",IF(AND('Trial Pricing Calculator'!D9="PRIVATE DISTRIBUTION",'Trial Pricing Calculator'!E14="Beer"),MAX(Calculations!B39,N13),IF('Trial Pricing Calculator'!E14="Ready_to_Drink",MAX(B39,L13))))</f>
        <v>0</v>
      </c>
      <c r="D39" s="166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148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199" t="e">
        <f>IF(A39="","",IF('Trial Pricing Calculator'!E14="Ready_to_Drink",SUM(A39+C39+'Trial Pricing Calculator'!L21+'Trial Pricing Calculator'!L22),SUM(D39+E39)))</f>
        <v>#VALUE!</v>
      </c>
      <c r="G39" s="148" t="b">
        <f>IF(A39="","",IF('Trial Pricing Calculator'!E14="Ready_to_Drink",MAX(Calculations!E39,Calculations!L13)))</f>
        <v>0</v>
      </c>
      <c r="J39" s="9"/>
      <c r="K39" s="9"/>
      <c r="L39" s="9"/>
      <c r="M39" s="9"/>
      <c r="N39" s="9"/>
    </row>
    <row r="40" spans="1:14" x14ac:dyDescent="0.35">
      <c r="J40" s="9"/>
      <c r="K40" s="9"/>
      <c r="L40" s="9"/>
      <c r="M40" s="9"/>
      <c r="N40" s="9"/>
    </row>
    <row r="41" spans="1:14" x14ac:dyDescent="0.35">
      <c r="A41" s="153" t="s">
        <v>253</v>
      </c>
      <c r="B41" s="154"/>
      <c r="C41" s="154"/>
      <c r="D41" s="154"/>
      <c r="E41" s="154"/>
      <c r="F41" s="154"/>
      <c r="G41" s="155"/>
      <c r="J41" s="9"/>
      <c r="K41" s="9"/>
      <c r="L41" s="9"/>
      <c r="M41" s="9"/>
      <c r="N41" s="9"/>
    </row>
    <row r="42" spans="1:14" x14ac:dyDescent="0.35">
      <c r="A42" s="158" t="s">
        <v>246</v>
      </c>
      <c r="B42" s="158" t="s">
        <v>76</v>
      </c>
      <c r="C42" s="158" t="s">
        <v>25</v>
      </c>
      <c r="D42" s="158" t="s">
        <v>249</v>
      </c>
      <c r="E42" s="158" t="s">
        <v>76</v>
      </c>
      <c r="F42" s="198" t="s">
        <v>250</v>
      </c>
      <c r="G42" s="158" t="s">
        <v>261</v>
      </c>
      <c r="H42" s="201" t="s">
        <v>275</v>
      </c>
      <c r="J42" s="9"/>
      <c r="K42" s="9"/>
      <c r="L42" s="9"/>
      <c r="M42" s="9"/>
      <c r="N42" s="9"/>
    </row>
    <row r="43" spans="1:14" x14ac:dyDescent="0.35">
      <c r="A43" s="168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148" t="str">
        <f>IF(F43="","",IF(AND('Trial Pricing Calculator'!E14="Beer",'Trial Pricing Calculator'!E16="Yes"),ROUND(SUM(Calculations!G43*R13),4),IF(AND('Trial Pricing Calculator'!E14="Beer",'Trial Pricing Calculator'!E16="No"),ROUND(SUM(Calculations!G43*R14),4),IF(AND('Trial Pricing Calculator'!D9="PRIVATE DISTRIBUTION",'Trial Pricing Calculator'!E14="Ready_to_Drink"),ROUND(Calculations!F43*Calculations!N28,4),""))))</f>
        <v/>
      </c>
      <c r="C43" s="148" t="str">
        <f>IF(F43="","",IF(AND('Trial Pricing Calculator'!D9="PRIVATE DISTRIBUTION",'Trial Pricing Calculator'!E14="Beer"),MAX(B43,N13),ROUND(F43*(11.75/100),4)))</f>
        <v/>
      </c>
      <c r="D43" s="166" t="str">
        <f>IF(F43="","",IF(AND('Trial Pricing Calculator'!D9="PRIVATE DISTRIBUTION",'Trial Pricing Calculator'!E14="Ready_to_Drink"),ROUND(Calculations!F43-Calculations!C43,4),ROUND(SUM(F43-E43),4)))</f>
        <v/>
      </c>
      <c r="E43" s="149" t="str">
        <f>IF(F43="","",IF(AND(OR('Trial Pricing Calculator'!E15="Cider",'Trial Pricing Calculator'!E15="Spirit Cooler",'Trial Pricing Calculator'!E15="Wine Cooler",'Trial Pricing Calculator'!E15="Malt Based Cooler"),'Trial Pricing Calculator'!D9="PRIVATE DISTRIBUTION",'Trial Pricing Calculator'!E14="Ready_to_Drink",'Trial Pricing Calculator'!E16="Yes"),ROUND(SUM(X12*(Calculations!F43-'Trial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Calculator'!L22)*Calculations!X14,4),IF(AND('Trial Pricing Calculator'!D9="PRIVATE DISTRIBUTION",'Trial Pricing Calculator'!E15="RTD - NGS/Bulk Spirits",'Trial Pricing Calculator'!E16="Yes"),ROUND(SUM(Calculations!F43-'Trial Pricing Calculator'!L21-'Trial Pricing Calculator'!L22)*X13,4),IF(AND('Trial Pricing Calculator'!D9="PRIVATE DISTRIBUTION",'Trial Pricing Calculator'!E14="Beer"),ROUND(SUM(Calculations!F43*T14),4),"")))))</f>
        <v/>
      </c>
      <c r="F43" s="199" t="str">
        <f>IF(AND('Trial Pricing Calculator'!D9="PRIVATE DISTRIBUTION",'Trial Pricing Calculator'!K9="Retail Price"),SUM('Trial Pricing Calculator'!L9+0.004),"")</f>
        <v/>
      </c>
      <c r="G43" s="148" t="str">
        <f>IF(F43="","",IF(AND('Trial Pricing Calculator'!D9="PRIVATE DISTRIBUTION",'Trial Pricing Calculator'!E14="Beer"),ROUND(SUM(F43-E43-'Trial Pricing Calculator'!L21-'Trial Pricing Calculator'!L22-Calculations!B21),4),ROUND(SUM(F43-H43-'Trial Pricing Calculator'!L21-'Trial Pricing Calculator'!L22),4)))</f>
        <v/>
      </c>
      <c r="H43" s="148" t="str">
        <f>IF(AND('Trial Pricing Calculator'!D9="PRIVATE DISTRIBUTION",'Trial Pricing Calculator'!E14="Ready_to_Drink"),MAX(Calculations!E43,Calculations!L13),"")</f>
        <v/>
      </c>
      <c r="J43" s="9"/>
      <c r="K43" s="9"/>
      <c r="L43" s="9"/>
      <c r="M43" s="9"/>
      <c r="N43" s="9"/>
    </row>
    <row r="44" spans="1:14" x14ac:dyDescent="0.35">
      <c r="A44" s="61"/>
      <c r="J44" s="9"/>
      <c r="K44" s="9"/>
      <c r="L44" s="9"/>
      <c r="M44" s="9"/>
      <c r="N44" s="9"/>
    </row>
    <row r="45" spans="1:14" x14ac:dyDescent="0.35">
      <c r="A45" s="153" t="s">
        <v>254</v>
      </c>
      <c r="B45" s="154"/>
      <c r="C45" s="154"/>
      <c r="D45" s="154"/>
      <c r="E45" s="154"/>
      <c r="F45" s="154"/>
      <c r="G45" s="155"/>
      <c r="J45" s="9"/>
      <c r="K45" s="9"/>
      <c r="L45" s="9"/>
      <c r="M45" s="9"/>
      <c r="N45" s="9"/>
    </row>
    <row r="46" spans="1:14" x14ac:dyDescent="0.35">
      <c r="A46" s="158" t="s">
        <v>246</v>
      </c>
      <c r="B46" s="158" t="s">
        <v>76</v>
      </c>
      <c r="C46" s="158" t="s">
        <v>25</v>
      </c>
      <c r="D46" s="158" t="s">
        <v>249</v>
      </c>
      <c r="E46" s="158" t="s">
        <v>76</v>
      </c>
      <c r="F46" s="198" t="s">
        <v>250</v>
      </c>
      <c r="G46" s="158" t="s">
        <v>261</v>
      </c>
      <c r="H46" s="201" t="s">
        <v>275</v>
      </c>
      <c r="J46" s="9"/>
      <c r="K46" s="9"/>
      <c r="L46" s="9"/>
      <c r="M46" s="9"/>
      <c r="N46" s="9"/>
    </row>
    <row r="47" spans="1:14" x14ac:dyDescent="0.35">
      <c r="A47" s="169" t="str">
        <f>IF(D47="","",ROUND(SUM(D47-C47-G13-G19-B21),4))</f>
        <v/>
      </c>
      <c r="B47" s="148" t="str">
        <f>IF(D47="","",IF(AND('Trial Pricing Calculator'!E14="Beer",'Trial Pricing Calculator'!E16="Yes"),ROUND(SUM(Calculations!G47*$R$13),4),IF(AND('Trial Pricing Calculator'!E14="Beer",'Trial Pricing Calculator'!E16="No"),ROUND(SUM(Calculations!G47*$R$14),4),IF(AND('Trial Pricing Calculator'!D9="PRIVATE DISTRIBUTION",'Trial Pricing Calculator'!E15="RTD - NGS/Bulk Spirits",'Trial Pricing Calculator'!E16="Yes"),ROUND(SUM(Calculations!F47-F13-F19)*Calculations!$X$13,4),IF(AND(OR('Trial Pricing Calculator'!E15="Malt Based Cooler",'Trial Pricing Calculator'!E15="Spirit Cooler",'Trial Pricing Calculator'!E15="Wine Cooler",'Trial Pricing Calculator'!E15="Cider"),'Trial Pricing Calculator'!E16="No"),ROUND(SUM(Calculations!F47-F13-F19)*Calculations!$X$14,4),"")))))</f>
        <v/>
      </c>
      <c r="C47" s="148" t="str">
        <f>IF(D47="","",ROUND(IF(AND('Trial Pricing Calculator'!D9="PRIVATE DISTRIBUTION",'Trial Pricing Calculator'!E14="Beer"),MAX(B47,N13)),4))</f>
        <v/>
      </c>
      <c r="D47" s="167" t="str">
        <f>IF('Trial Pricing Calculator'!K9="Licensee Price",'Trial Pricing Calculator'!L9,"")</f>
        <v/>
      </c>
      <c r="E47" s="148" t="str">
        <f>IF(D47="","",IF('Trial Pricing Calculator'!E14="Ready_to_Drink",Calculations!N28*Calculations!D47,ROUND(SUM(D47*(17/100)),4)))</f>
        <v/>
      </c>
      <c r="F47" s="199" t="str">
        <f>IF(D47="","",ROUND(SUM(D47+E47-0.0004),2))</f>
        <v/>
      </c>
      <c r="G47" s="149" t="str">
        <f>IF(D47="","",IF('Trial Pricing Calculator'!E14="Ready_to_Drink",SUM(Calculations!F47-Calculations!C47-Calculations!F13-Calculations!F19),ROUND(SUM(F47-E47-B21-G19-G13),4)))</f>
        <v/>
      </c>
      <c r="H47" s="148" t="str">
        <f>IF(AND('Trial Pricing Calculator'!D9="PRIVATE DISTRIBUTION",'Trial Pricing Calculator'!E14="Ready_to_Drink"),MAX(Calculations!E47,Calculations!L13),"")</f>
        <v/>
      </c>
      <c r="J47" s="9"/>
      <c r="K47" s="9"/>
      <c r="L47" s="9"/>
      <c r="M47" s="9"/>
      <c r="N47" s="9"/>
    </row>
    <row r="48" spans="1:14" x14ac:dyDescent="0.35">
      <c r="J48" s="9"/>
      <c r="K48" s="9"/>
      <c r="L48" s="9"/>
      <c r="M48" s="9"/>
      <c r="N48" s="9"/>
    </row>
    <row r="49" spans="1:14" x14ac:dyDescent="0.35">
      <c r="J49" s="9"/>
      <c r="K49" s="9"/>
      <c r="L49" s="9"/>
      <c r="M49" s="9"/>
      <c r="N49" s="9"/>
    </row>
    <row r="50" spans="1:14" x14ac:dyDescent="0.35">
      <c r="J50" s="9"/>
      <c r="K50" s="9"/>
      <c r="L50" s="9"/>
      <c r="M50" s="9"/>
      <c r="N50" s="9"/>
    </row>
    <row r="51" spans="1:14" x14ac:dyDescent="0.35">
      <c r="J51" s="9"/>
      <c r="K51" s="9"/>
      <c r="L51" s="9"/>
      <c r="M51" s="9"/>
      <c r="N51" s="9"/>
    </row>
    <row r="52" spans="1:14" x14ac:dyDescent="0.35">
      <c r="J52" s="9"/>
      <c r="K52" s="9"/>
      <c r="L52" s="9"/>
      <c r="M52" s="9"/>
      <c r="N52" s="9"/>
    </row>
    <row r="53" spans="1:14" x14ac:dyDescent="0.35">
      <c r="J53" s="9"/>
      <c r="K53" s="9"/>
      <c r="L53" s="9"/>
      <c r="M53" s="9"/>
      <c r="N53" s="9"/>
    </row>
    <row r="54" spans="1:14" x14ac:dyDescent="0.35">
      <c r="A54" s="325" t="s">
        <v>283</v>
      </c>
      <c r="B54" s="325"/>
      <c r="C54" s="325"/>
      <c r="D54" s="325"/>
      <c r="J54" s="9"/>
      <c r="K54" s="9"/>
      <c r="L54" s="9"/>
      <c r="M54" s="9"/>
      <c r="N54" s="9"/>
    </row>
    <row r="55" spans="1:14" x14ac:dyDescent="0.35">
      <c r="A55" t="s">
        <v>277</v>
      </c>
      <c r="B55" t="str">
        <f>'Trial Pricing Calculator'!L14</f>
        <v/>
      </c>
      <c r="J55" s="9"/>
      <c r="K55" s="9"/>
      <c r="L55" s="9"/>
      <c r="M55" s="9"/>
      <c r="N55" s="9"/>
    </row>
    <row r="56" spans="1:14" x14ac:dyDescent="0.35">
      <c r="A56" t="s">
        <v>278</v>
      </c>
      <c r="B56" t="str">
        <f>'Trial Pricing Calculator'!L15</f>
        <v/>
      </c>
      <c r="J56" s="9"/>
      <c r="K56" s="9"/>
      <c r="L56" s="9"/>
      <c r="M56" s="9"/>
      <c r="N56" s="9"/>
    </row>
    <row r="57" spans="1:14" x14ac:dyDescent="0.35">
      <c r="A57" t="s">
        <v>279</v>
      </c>
      <c r="B57" t="str">
        <f>'Trial Pricing Calculator'!L16</f>
        <v/>
      </c>
      <c r="J57" s="9"/>
      <c r="K57" s="9"/>
      <c r="L57" s="9"/>
      <c r="M57" s="9"/>
      <c r="N57" s="9"/>
    </row>
    <row r="58" spans="1:14" x14ac:dyDescent="0.35">
      <c r="A58" t="s">
        <v>280</v>
      </c>
      <c r="B58" t="str">
        <f>'Trial Pricing Calculator'!L17</f>
        <v/>
      </c>
      <c r="J58" s="9"/>
      <c r="K58" s="9"/>
      <c r="L58" s="9"/>
      <c r="M58" s="9"/>
      <c r="N58" s="9"/>
    </row>
    <row r="59" spans="1:14" x14ac:dyDescent="0.35">
      <c r="J59" s="9"/>
      <c r="K59" s="9"/>
      <c r="L59" s="9"/>
      <c r="M59" s="9"/>
      <c r="N59" s="9"/>
    </row>
    <row r="60" spans="1:14" x14ac:dyDescent="0.35">
      <c r="A60" t="s">
        <v>25</v>
      </c>
      <c r="B60" t="str">
        <f>'Trial Pricing Calculator'!L20</f>
        <v/>
      </c>
      <c r="J60" s="9"/>
      <c r="K60" s="9"/>
      <c r="L60" s="9"/>
      <c r="M60" s="9"/>
      <c r="N60" s="9"/>
    </row>
    <row r="61" spans="1:14" x14ac:dyDescent="0.35">
      <c r="A61" t="s">
        <v>281</v>
      </c>
      <c r="B61" t="str">
        <f>'Trial Pricing Calculator'!L21</f>
        <v/>
      </c>
      <c r="J61" s="9"/>
      <c r="K61" s="9"/>
      <c r="L61" s="9"/>
      <c r="M61" s="9"/>
      <c r="N61" s="9"/>
    </row>
    <row r="62" spans="1:14" x14ac:dyDescent="0.35">
      <c r="A62" t="s">
        <v>282</v>
      </c>
      <c r="B62" t="str">
        <f>'Trial Pricing Calculator'!L22</f>
        <v/>
      </c>
      <c r="J62" s="9"/>
      <c r="K62" s="9"/>
      <c r="L62" s="9"/>
      <c r="M62" s="9"/>
      <c r="N62" s="9"/>
    </row>
    <row r="63" spans="1:14" x14ac:dyDescent="0.35">
      <c r="A63" t="s">
        <v>134</v>
      </c>
      <c r="B63" t="str">
        <f>'Trial Pricing Calculator'!L23</f>
        <v/>
      </c>
      <c r="J63" s="9"/>
      <c r="K63" s="9"/>
      <c r="L63" s="9"/>
      <c r="M63" s="9"/>
      <c r="N63" s="9"/>
    </row>
    <row r="64" spans="1:14" x14ac:dyDescent="0.35">
      <c r="A64" t="s">
        <v>286</v>
      </c>
      <c r="B64" t="str">
        <f>'Trial Pricing Calculator'!L24</f>
        <v/>
      </c>
      <c r="J64" s="9"/>
      <c r="K64" s="9"/>
      <c r="L64" s="9"/>
      <c r="M64" s="9"/>
      <c r="N64" s="9"/>
    </row>
    <row r="65" spans="1:14" x14ac:dyDescent="0.35">
      <c r="A65" t="s">
        <v>285</v>
      </c>
      <c r="B65" s="202">
        <f>SUM(B55:B64)</f>
        <v>0</v>
      </c>
      <c r="J65" s="9"/>
      <c r="K65" s="9"/>
      <c r="L65" s="9"/>
      <c r="M65" s="9"/>
      <c r="N65" s="9"/>
    </row>
    <row r="66" spans="1:14" x14ac:dyDescent="0.35">
      <c r="J66" s="9"/>
      <c r="K66" s="9"/>
      <c r="L66" s="9"/>
      <c r="M66" s="9"/>
      <c r="N66" s="9"/>
    </row>
    <row r="67" spans="1:14" x14ac:dyDescent="0.35">
      <c r="J67" s="9"/>
      <c r="K67" s="9"/>
      <c r="L67" s="9"/>
      <c r="M67" s="9"/>
      <c r="N67" s="9"/>
    </row>
    <row r="68" spans="1:14" x14ac:dyDescent="0.35">
      <c r="J68" s="9"/>
      <c r="K68" s="9"/>
      <c r="L68" s="9"/>
      <c r="M68" s="9"/>
      <c r="N68" s="9"/>
    </row>
    <row r="69" spans="1:14" x14ac:dyDescent="0.35">
      <c r="J69" s="9"/>
      <c r="K69" s="9"/>
      <c r="L69" s="9"/>
      <c r="M69" s="9"/>
      <c r="N69" s="9"/>
    </row>
    <row r="70" spans="1:14" x14ac:dyDescent="0.35">
      <c r="J70" s="9"/>
      <c r="K70" s="9"/>
      <c r="L70" s="9"/>
      <c r="M70" s="9"/>
      <c r="N70" s="9"/>
    </row>
    <row r="71" spans="1:14" x14ac:dyDescent="0.35">
      <c r="A71" s="325" t="s">
        <v>284</v>
      </c>
      <c r="B71" s="325"/>
      <c r="C71" s="325"/>
      <c r="D71" s="325"/>
      <c r="J71" s="9"/>
      <c r="K71" s="9"/>
      <c r="L71" s="9"/>
      <c r="M71" s="9"/>
      <c r="N71" s="9"/>
    </row>
    <row r="72" spans="1:14" x14ac:dyDescent="0.35">
      <c r="A72" t="s">
        <v>277</v>
      </c>
      <c r="B72">
        <v>7.25</v>
      </c>
      <c r="J72" s="9"/>
      <c r="K72" s="9"/>
      <c r="L72" s="9"/>
      <c r="M72" s="9"/>
      <c r="N72" s="9"/>
    </row>
    <row r="73" spans="1:14" x14ac:dyDescent="0.35">
      <c r="A73" t="s">
        <v>25</v>
      </c>
      <c r="B73">
        <v>7.8871089999999997</v>
      </c>
      <c r="J73" s="9"/>
      <c r="K73" s="9"/>
      <c r="L73" s="9"/>
      <c r="M73" s="9"/>
      <c r="N73" s="9"/>
    </row>
    <row r="74" spans="1:14" x14ac:dyDescent="0.35">
      <c r="A74" t="s">
        <v>281</v>
      </c>
      <c r="B74">
        <v>2.242</v>
      </c>
      <c r="J74" s="9"/>
      <c r="K74" s="9"/>
      <c r="L74" s="9"/>
      <c r="M74" s="9"/>
      <c r="N74" s="9"/>
    </row>
    <row r="75" spans="1:14" x14ac:dyDescent="0.35">
      <c r="A75" t="s">
        <v>282</v>
      </c>
      <c r="B75">
        <v>0.35639999999999999</v>
      </c>
      <c r="J75" s="9"/>
      <c r="K75" s="9"/>
      <c r="L75" s="9"/>
      <c r="M75" s="9"/>
      <c r="N75" s="9"/>
    </row>
    <row r="76" spans="1:14" x14ac:dyDescent="0.35">
      <c r="A76" t="s">
        <v>286</v>
      </c>
      <c r="B76">
        <v>0</v>
      </c>
      <c r="J76" s="9"/>
      <c r="K76" s="9"/>
      <c r="L76" s="9"/>
      <c r="M76" s="9"/>
      <c r="N76" s="9"/>
    </row>
    <row r="77" spans="1:14" x14ac:dyDescent="0.35">
      <c r="J77" s="9"/>
      <c r="K77" s="9"/>
      <c r="L77" s="9"/>
      <c r="M77" s="9"/>
      <c r="N77" s="9"/>
    </row>
    <row r="78" spans="1:14" x14ac:dyDescent="0.35">
      <c r="J78" s="9"/>
      <c r="K78" s="9"/>
      <c r="L78" s="9"/>
      <c r="M78" s="9"/>
      <c r="N78" s="9"/>
    </row>
    <row r="79" spans="1:14" x14ac:dyDescent="0.35">
      <c r="J79" s="9"/>
      <c r="K79" s="9"/>
      <c r="L79" s="9"/>
      <c r="M79" s="9"/>
      <c r="N79" s="9"/>
    </row>
    <row r="80" spans="1:14" x14ac:dyDescent="0.35">
      <c r="J80" s="9"/>
      <c r="K80" s="9"/>
      <c r="L80" s="9"/>
      <c r="M80" s="9"/>
      <c r="N80" s="9"/>
    </row>
    <row r="81" spans="10:14" x14ac:dyDescent="0.35">
      <c r="J81" s="9"/>
      <c r="K81" s="9"/>
      <c r="L81" s="9"/>
      <c r="M81" s="9"/>
      <c r="N81" s="9"/>
    </row>
    <row r="82" spans="10:14" x14ac:dyDescent="0.35">
      <c r="J82" s="9"/>
      <c r="K82" s="9"/>
      <c r="L82" s="9"/>
      <c r="M82" s="9"/>
      <c r="N82" s="9"/>
    </row>
    <row r="83" spans="10:14" x14ac:dyDescent="0.35">
      <c r="J83" s="9"/>
      <c r="K83" s="9"/>
      <c r="L83" s="9"/>
      <c r="M83" s="9"/>
      <c r="N83" s="9"/>
    </row>
    <row r="84" spans="10:14" x14ac:dyDescent="0.35">
      <c r="J84" s="9"/>
      <c r="K84" s="9"/>
      <c r="L84" s="9"/>
      <c r="M84" s="9"/>
      <c r="N84" s="9"/>
    </row>
    <row r="85" spans="10:14" x14ac:dyDescent="0.35">
      <c r="J85" s="9"/>
      <c r="K85" s="9"/>
      <c r="L85" s="9"/>
      <c r="M85" s="9"/>
      <c r="N85" s="9"/>
    </row>
    <row r="86" spans="10:14" x14ac:dyDescent="0.35">
      <c r="J86" s="9"/>
      <c r="K86" s="9"/>
      <c r="L86" s="9"/>
      <c r="M86" s="9"/>
      <c r="N86" s="9"/>
    </row>
    <row r="87" spans="10:14" x14ac:dyDescent="0.35">
      <c r="J87" s="9"/>
      <c r="K87" s="9"/>
      <c r="L87" s="9"/>
      <c r="M87" s="9"/>
      <c r="N87" s="9"/>
    </row>
    <row r="88" spans="10:14" x14ac:dyDescent="0.35">
      <c r="J88" s="9"/>
      <c r="K88" s="9"/>
      <c r="L88" s="9"/>
      <c r="M88" s="9"/>
      <c r="N88" s="9"/>
    </row>
    <row r="89" spans="10:14" x14ac:dyDescent="0.35">
      <c r="J89" s="9"/>
      <c r="K89" s="9"/>
      <c r="L89" s="9"/>
      <c r="M89" s="9"/>
      <c r="N89" s="9"/>
    </row>
    <row r="90" spans="10:14" x14ac:dyDescent="0.35">
      <c r="J90" s="9"/>
      <c r="K90" s="9"/>
      <c r="L90" s="9"/>
      <c r="M90" s="9"/>
      <c r="N90" s="9"/>
    </row>
    <row r="91" spans="10:14" x14ac:dyDescent="0.35">
      <c r="J91" s="9"/>
      <c r="K91" s="9"/>
      <c r="L91" s="9"/>
      <c r="M91" s="9"/>
      <c r="N91" s="9"/>
    </row>
    <row r="92" spans="10:14" x14ac:dyDescent="0.35">
      <c r="J92" s="9"/>
      <c r="K92" s="9"/>
      <c r="L92" s="9"/>
      <c r="M92" s="9"/>
      <c r="N92" s="9"/>
    </row>
    <row r="93" spans="10:14" x14ac:dyDescent="0.35">
      <c r="J93" s="9"/>
      <c r="K93" s="9"/>
      <c r="L93" s="9"/>
      <c r="M93" s="9"/>
      <c r="N93" s="9"/>
    </row>
    <row r="94" spans="10:14" x14ac:dyDescent="0.35">
      <c r="J94" s="9"/>
      <c r="K94" s="9"/>
      <c r="L94" s="9"/>
      <c r="M94" s="9"/>
      <c r="N94" s="9"/>
    </row>
    <row r="95" spans="10:14" x14ac:dyDescent="0.35">
      <c r="J95" s="9"/>
      <c r="K95" s="9"/>
      <c r="L95" s="9"/>
      <c r="M95" s="9"/>
      <c r="N95" s="9"/>
    </row>
    <row r="96" spans="10:14" x14ac:dyDescent="0.35">
      <c r="J96" s="9"/>
      <c r="K96" s="9"/>
      <c r="L96" s="9"/>
      <c r="M96" s="9"/>
      <c r="N96" s="9"/>
    </row>
    <row r="97" spans="10:14" x14ac:dyDescent="0.35">
      <c r="J97" s="9"/>
      <c r="K97" s="9"/>
      <c r="L97" s="9"/>
      <c r="M97" s="9"/>
      <c r="N97" s="9"/>
    </row>
    <row r="98" spans="10:14" x14ac:dyDescent="0.35">
      <c r="J98" s="9"/>
      <c r="K98" s="9"/>
      <c r="L98" s="9"/>
      <c r="M98" s="9"/>
      <c r="N98" s="9"/>
    </row>
    <row r="99" spans="10:14" x14ac:dyDescent="0.35">
      <c r="J99" s="9"/>
      <c r="K99" s="9"/>
      <c r="L99" s="9"/>
      <c r="M99" s="9"/>
      <c r="N99" s="9"/>
    </row>
    <row r="100" spans="10:14" x14ac:dyDescent="0.35">
      <c r="J100" s="9"/>
      <c r="K100" s="9"/>
      <c r="L100" s="9"/>
      <c r="M100" s="9"/>
      <c r="N100" s="9"/>
    </row>
    <row r="101" spans="10:14" x14ac:dyDescent="0.35">
      <c r="J101" s="9"/>
      <c r="K101" s="9"/>
      <c r="L101" s="9"/>
      <c r="M101" s="9"/>
      <c r="N101" s="9"/>
    </row>
    <row r="102" spans="10:14" x14ac:dyDescent="0.35">
      <c r="J102" s="9"/>
      <c r="K102" s="9"/>
      <c r="L102" s="9"/>
      <c r="M102" s="9"/>
      <c r="N102" s="9"/>
    </row>
    <row r="103" spans="10:14" x14ac:dyDescent="0.35">
      <c r="J103" s="9"/>
      <c r="K103" s="9"/>
      <c r="L103" s="9"/>
      <c r="M103" s="9"/>
      <c r="N103" s="9"/>
    </row>
    <row r="104" spans="10:14" x14ac:dyDescent="0.35">
      <c r="J104" s="9"/>
      <c r="K104" s="9"/>
      <c r="L104" s="9"/>
      <c r="M104" s="9"/>
      <c r="N104" s="9"/>
    </row>
    <row r="105" spans="10:14" x14ac:dyDescent="0.35">
      <c r="J105" s="9"/>
      <c r="K105" s="9"/>
      <c r="L105" s="9"/>
      <c r="M105" s="9"/>
      <c r="N105" s="9"/>
    </row>
    <row r="106" spans="10:14" x14ac:dyDescent="0.35">
      <c r="J106" s="9"/>
      <c r="K106" s="9"/>
      <c r="L106" s="9"/>
      <c r="M106" s="9"/>
      <c r="N106" s="9"/>
    </row>
    <row r="107" spans="10:14" x14ac:dyDescent="0.35">
      <c r="J107" s="9"/>
      <c r="K107" s="9"/>
      <c r="L107" s="9"/>
      <c r="M107" s="9"/>
      <c r="N107" s="9"/>
    </row>
    <row r="108" spans="10:14" x14ac:dyDescent="0.35">
      <c r="J108" s="9"/>
      <c r="K108" s="9"/>
      <c r="L108" s="9"/>
      <c r="M108" s="9"/>
      <c r="N108" s="9"/>
    </row>
    <row r="109" spans="10:14" x14ac:dyDescent="0.35">
      <c r="J109" s="9"/>
      <c r="K109" s="9"/>
      <c r="L109" s="9"/>
      <c r="M109" s="9"/>
      <c r="N109" s="9"/>
    </row>
    <row r="110" spans="10:14" x14ac:dyDescent="0.35">
      <c r="J110" s="9"/>
      <c r="K110" s="9"/>
      <c r="L110" s="9"/>
      <c r="M110" s="9"/>
      <c r="N110" s="9"/>
    </row>
    <row r="111" spans="10:14" x14ac:dyDescent="0.35">
      <c r="J111" s="9"/>
      <c r="K111" s="9"/>
      <c r="L111" s="9"/>
      <c r="M111" s="9"/>
      <c r="N111" s="9"/>
    </row>
    <row r="112" spans="10:14" x14ac:dyDescent="0.35">
      <c r="J112" s="9"/>
      <c r="K112" s="9"/>
      <c r="L112" s="9"/>
      <c r="M112" s="9"/>
      <c r="N112" s="9"/>
    </row>
    <row r="113" spans="10:14" x14ac:dyDescent="0.35">
      <c r="J113" s="9"/>
      <c r="K113" s="9"/>
      <c r="L113" s="9"/>
      <c r="M113" s="9"/>
      <c r="N113" s="9"/>
    </row>
    <row r="114" spans="10:14" x14ac:dyDescent="0.35">
      <c r="J114" s="9"/>
      <c r="K114" s="9"/>
      <c r="L114" s="9"/>
      <c r="M114" s="9"/>
      <c r="N114" s="9"/>
    </row>
    <row r="115" spans="10:14" x14ac:dyDescent="0.35">
      <c r="J115" s="9"/>
      <c r="K115" s="9"/>
      <c r="L115" s="9"/>
      <c r="M115" s="9"/>
      <c r="N115" s="9"/>
    </row>
    <row r="116" spans="10:14" x14ac:dyDescent="0.35">
      <c r="J116" s="9"/>
      <c r="K116" s="9"/>
      <c r="L116" s="9"/>
      <c r="M116" s="9"/>
      <c r="N116" s="9"/>
    </row>
    <row r="117" spans="10:14" x14ac:dyDescent="0.35">
      <c r="J117" s="9"/>
      <c r="K117" s="9"/>
      <c r="L117" s="9"/>
      <c r="M117" s="9"/>
      <c r="N117" s="9"/>
    </row>
    <row r="118" spans="10:14" x14ac:dyDescent="0.35">
      <c r="J118" s="9"/>
      <c r="K118" s="9"/>
      <c r="L118" s="9"/>
      <c r="M118" s="9"/>
      <c r="N118" s="9"/>
    </row>
    <row r="119" spans="10:14" x14ac:dyDescent="0.35">
      <c r="J119" s="9"/>
      <c r="K119" s="9"/>
      <c r="L119" s="9"/>
      <c r="M119" s="9"/>
      <c r="N119" s="9"/>
    </row>
    <row r="120" spans="10:14" x14ac:dyDescent="0.35">
      <c r="J120" s="9"/>
      <c r="K120" s="9"/>
      <c r="L120" s="9"/>
      <c r="M120" s="9"/>
      <c r="N120" s="9"/>
    </row>
    <row r="121" spans="10:14" x14ac:dyDescent="0.35">
      <c r="J121" s="9"/>
      <c r="K121" s="9"/>
      <c r="L121" s="9"/>
      <c r="M121" s="9"/>
      <c r="N121" s="9"/>
    </row>
    <row r="122" spans="10:14" x14ac:dyDescent="0.35">
      <c r="J122" s="9"/>
      <c r="K122" s="9"/>
      <c r="L122" s="9"/>
      <c r="M122" s="9"/>
      <c r="N122" s="9"/>
    </row>
    <row r="123" spans="10:14" x14ac:dyDescent="0.35">
      <c r="J123" s="9"/>
      <c r="K123" s="9"/>
      <c r="L123" s="9"/>
      <c r="M123" s="9"/>
      <c r="N123" s="9"/>
    </row>
    <row r="124" spans="10:14" x14ac:dyDescent="0.35">
      <c r="J124" s="9"/>
      <c r="K124" s="9"/>
      <c r="L124" s="9"/>
      <c r="M124" s="9"/>
      <c r="N124" s="9"/>
    </row>
    <row r="125" spans="10:14" x14ac:dyDescent="0.35">
      <c r="J125" s="9"/>
      <c r="K125" s="9"/>
      <c r="L125" s="9"/>
      <c r="M125" s="9"/>
      <c r="N125" s="9"/>
    </row>
    <row r="126" spans="10:14" x14ac:dyDescent="0.35">
      <c r="J126" s="9"/>
      <c r="K126" s="9"/>
      <c r="L126" s="9"/>
      <c r="M126" s="9"/>
      <c r="N126" s="9"/>
    </row>
    <row r="127" spans="10:14" x14ac:dyDescent="0.35">
      <c r="J127" s="9"/>
      <c r="K127" s="9"/>
      <c r="L127" s="9"/>
      <c r="M127" s="9"/>
      <c r="N127" s="9"/>
    </row>
    <row r="128" spans="10:14" x14ac:dyDescent="0.35">
      <c r="J128" s="9"/>
      <c r="K128" s="9"/>
      <c r="L128" s="9"/>
      <c r="M128" s="9"/>
      <c r="N128" s="9"/>
    </row>
    <row r="129" spans="10:14" x14ac:dyDescent="0.35">
      <c r="J129" s="9"/>
      <c r="K129" s="9"/>
      <c r="L129" s="9"/>
      <c r="M129" s="9"/>
      <c r="N129" s="9"/>
    </row>
    <row r="130" spans="10:14" x14ac:dyDescent="0.35">
      <c r="J130" s="9"/>
      <c r="K130" s="9"/>
      <c r="L130" s="9"/>
      <c r="M130" s="9"/>
      <c r="N130" s="9"/>
    </row>
    <row r="131" spans="10:14" x14ac:dyDescent="0.35">
      <c r="J131" s="9"/>
      <c r="K131" s="9"/>
      <c r="L131" s="9"/>
      <c r="M131" s="9"/>
      <c r="N131" s="9"/>
    </row>
    <row r="132" spans="10:14" x14ac:dyDescent="0.35">
      <c r="J132" s="9"/>
      <c r="K132" s="9"/>
      <c r="L132" s="9"/>
      <c r="M132" s="9"/>
      <c r="N132" s="9"/>
    </row>
    <row r="133" spans="10:14" x14ac:dyDescent="0.35">
      <c r="J133" s="9"/>
      <c r="K133" s="9"/>
      <c r="L133" s="9"/>
      <c r="M133" s="9"/>
      <c r="N133" s="9"/>
    </row>
    <row r="134" spans="10:14" x14ac:dyDescent="0.35">
      <c r="J134" s="9"/>
      <c r="K134" s="9"/>
      <c r="L134" s="9"/>
      <c r="M134" s="9"/>
      <c r="N134" s="9"/>
    </row>
    <row r="135" spans="10:14" x14ac:dyDescent="0.35">
      <c r="J135" s="9"/>
      <c r="K135" s="9"/>
      <c r="L135" s="9"/>
      <c r="M135" s="9"/>
      <c r="N135" s="9"/>
    </row>
    <row r="136" spans="10:14" x14ac:dyDescent="0.35">
      <c r="J136" s="9"/>
      <c r="K136" s="9"/>
      <c r="L136" s="9"/>
      <c r="M136" s="9"/>
      <c r="N136" s="9"/>
    </row>
    <row r="137" spans="10:14" x14ac:dyDescent="0.35">
      <c r="J137" s="9"/>
      <c r="K137" s="9"/>
      <c r="L137" s="9"/>
      <c r="M137" s="9"/>
      <c r="N137" s="9"/>
    </row>
    <row r="138" spans="10:14" x14ac:dyDescent="0.35">
      <c r="J138" s="9"/>
      <c r="K138" s="9"/>
      <c r="L138" s="9"/>
      <c r="M138" s="9"/>
      <c r="N138" s="9"/>
    </row>
    <row r="139" spans="10:14" x14ac:dyDescent="0.35">
      <c r="J139" s="9"/>
      <c r="K139" s="9"/>
      <c r="L139" s="9"/>
      <c r="M139" s="9"/>
      <c r="N139" s="9"/>
    </row>
    <row r="140" spans="10:14" x14ac:dyDescent="0.35">
      <c r="J140" s="9"/>
      <c r="K140" s="9"/>
      <c r="L140" s="9"/>
      <c r="M140" s="9"/>
      <c r="N140" s="9"/>
    </row>
    <row r="141" spans="10:14" x14ac:dyDescent="0.35">
      <c r="J141" s="9"/>
      <c r="K141" s="9"/>
      <c r="L141" s="9"/>
      <c r="M141" s="9"/>
      <c r="N141" s="9"/>
    </row>
    <row r="142" spans="10:14" x14ac:dyDescent="0.35">
      <c r="J142" s="9"/>
      <c r="K142" s="9"/>
      <c r="L142" s="9"/>
      <c r="M142" s="9"/>
      <c r="N142" s="9"/>
    </row>
    <row r="143" spans="10:14" x14ac:dyDescent="0.35">
      <c r="J143" s="9"/>
      <c r="K143" s="9"/>
      <c r="L143" s="9"/>
      <c r="M143" s="9"/>
      <c r="N143" s="9"/>
    </row>
    <row r="144" spans="10:14" x14ac:dyDescent="0.35">
      <c r="J144" s="9"/>
      <c r="K144" s="9"/>
      <c r="L144" s="9"/>
      <c r="M144" s="9"/>
      <c r="N144" s="9"/>
    </row>
    <row r="145" spans="10:14" x14ac:dyDescent="0.35">
      <c r="J145" s="9"/>
      <c r="K145" s="9"/>
      <c r="L145" s="9"/>
      <c r="M145" s="9"/>
      <c r="N145" s="9"/>
    </row>
    <row r="146" spans="10:14" x14ac:dyDescent="0.35">
      <c r="J146" s="9"/>
      <c r="K146" s="9"/>
      <c r="L146" s="9"/>
      <c r="M146" s="9"/>
      <c r="N146" s="9"/>
    </row>
    <row r="147" spans="10:14" x14ac:dyDescent="0.35">
      <c r="J147" s="9"/>
      <c r="K147" s="9"/>
      <c r="L147" s="9"/>
      <c r="M147" s="9"/>
      <c r="N147" s="9"/>
    </row>
    <row r="148" spans="10:14" x14ac:dyDescent="0.35">
      <c r="J148" s="9"/>
      <c r="K148" s="9"/>
      <c r="L148" s="9"/>
      <c r="M148" s="9"/>
      <c r="N148" s="9"/>
    </row>
    <row r="149" spans="10:14" x14ac:dyDescent="0.35">
      <c r="J149" s="9"/>
      <c r="K149" s="9"/>
      <c r="L149" s="9"/>
      <c r="M149" s="9"/>
      <c r="N149" s="9"/>
    </row>
    <row r="150" spans="10:14" x14ac:dyDescent="0.35">
      <c r="J150" s="9"/>
      <c r="K150" s="9"/>
      <c r="L150" s="9"/>
      <c r="M150" s="9"/>
      <c r="N150" s="9"/>
    </row>
    <row r="151" spans="10:14" x14ac:dyDescent="0.35">
      <c r="J151" s="9"/>
      <c r="K151" s="9"/>
      <c r="L151" s="9"/>
      <c r="M151" s="9"/>
      <c r="N151" s="9"/>
    </row>
    <row r="152" spans="10:14" x14ac:dyDescent="0.35">
      <c r="J152" s="9"/>
      <c r="K152" s="9"/>
      <c r="L152" s="9"/>
      <c r="M152" s="9"/>
      <c r="N152" s="9"/>
    </row>
    <row r="153" spans="10:14" x14ac:dyDescent="0.35">
      <c r="J153" s="9"/>
      <c r="K153" s="9"/>
      <c r="L153" s="9"/>
      <c r="M153" s="9"/>
      <c r="N153" s="9"/>
    </row>
    <row r="154" spans="10:14" x14ac:dyDescent="0.35">
      <c r="J154" s="9"/>
      <c r="K154" s="9"/>
      <c r="L154" s="9"/>
      <c r="M154" s="9"/>
      <c r="N154" s="9"/>
    </row>
    <row r="155" spans="10:14" x14ac:dyDescent="0.35">
      <c r="J155" s="9"/>
      <c r="K155" s="9"/>
      <c r="L155" s="9"/>
      <c r="M155" s="9"/>
      <c r="N155" s="9"/>
    </row>
    <row r="156" spans="10:14" x14ac:dyDescent="0.35">
      <c r="J156" s="9"/>
      <c r="K156" s="9"/>
      <c r="L156" s="9"/>
      <c r="M156" s="9"/>
      <c r="N156" s="9"/>
    </row>
    <row r="157" spans="10:14" x14ac:dyDescent="0.35">
      <c r="J157" s="9"/>
      <c r="K157" s="9"/>
      <c r="L157" s="9"/>
      <c r="M157" s="9"/>
      <c r="N157" s="9"/>
    </row>
    <row r="158" spans="10:14" x14ac:dyDescent="0.35">
      <c r="J158" s="9"/>
      <c r="K158" s="9"/>
      <c r="L158" s="9"/>
      <c r="M158" s="9"/>
      <c r="N158" s="9"/>
    </row>
    <row r="159" spans="10:14" x14ac:dyDescent="0.35">
      <c r="J159" s="9"/>
      <c r="K159" s="9"/>
      <c r="L159" s="9"/>
      <c r="M159" s="9"/>
      <c r="N159" s="9"/>
    </row>
    <row r="160" spans="10:14" x14ac:dyDescent="0.35">
      <c r="J160" s="9"/>
      <c r="K160" s="9"/>
      <c r="L160" s="9"/>
      <c r="M160" s="9"/>
      <c r="N160" s="9"/>
    </row>
    <row r="161" spans="10:14" x14ac:dyDescent="0.35">
      <c r="J161" s="9"/>
      <c r="K161" s="9"/>
      <c r="L161" s="9"/>
      <c r="M161" s="9"/>
      <c r="N161" s="9"/>
    </row>
    <row r="162" spans="10:14" x14ac:dyDescent="0.35">
      <c r="J162" s="9"/>
      <c r="K162" s="9"/>
      <c r="L162" s="9"/>
      <c r="M162" s="9"/>
      <c r="N162" s="9"/>
    </row>
    <row r="163" spans="10:14" x14ac:dyDescent="0.35">
      <c r="J163" s="9"/>
      <c r="K163" s="9"/>
      <c r="L163" s="9"/>
      <c r="M163" s="9"/>
      <c r="N163" s="9"/>
    </row>
    <row r="164" spans="10:14" x14ac:dyDescent="0.35">
      <c r="J164" s="9"/>
      <c r="K164" s="9"/>
      <c r="L164" s="9"/>
      <c r="M164" s="9"/>
      <c r="N164" s="9"/>
    </row>
    <row r="165" spans="10:14" x14ac:dyDescent="0.35">
      <c r="J165" s="9"/>
      <c r="K165" s="9"/>
      <c r="L165" s="9"/>
      <c r="M165" s="9"/>
      <c r="N165" s="9"/>
    </row>
    <row r="166" spans="10:14" x14ac:dyDescent="0.35">
      <c r="J166" s="9"/>
      <c r="K166" s="9"/>
      <c r="L166" s="9"/>
      <c r="M166" s="9"/>
      <c r="N166" s="9"/>
    </row>
    <row r="167" spans="10:14" x14ac:dyDescent="0.35">
      <c r="J167" s="9"/>
      <c r="K167" s="9"/>
      <c r="L167" s="9"/>
      <c r="M167" s="9"/>
      <c r="N167" s="9"/>
    </row>
    <row r="168" spans="10:14" x14ac:dyDescent="0.35">
      <c r="J168" s="9"/>
      <c r="K168" s="9"/>
      <c r="L168" s="9"/>
      <c r="M168" s="9"/>
      <c r="N168" s="9"/>
    </row>
    <row r="169" spans="10:14" x14ac:dyDescent="0.35">
      <c r="J169" s="9"/>
      <c r="K169" s="9"/>
      <c r="L169" s="9"/>
      <c r="M169" s="9"/>
      <c r="N169" s="9"/>
    </row>
    <row r="170" spans="10:14" x14ac:dyDescent="0.35">
      <c r="J170" s="9"/>
      <c r="K170" s="9"/>
      <c r="L170" s="9"/>
      <c r="M170" s="9"/>
      <c r="N170" s="9"/>
    </row>
    <row r="171" spans="10:14" x14ac:dyDescent="0.35">
      <c r="J171" s="9"/>
      <c r="K171" s="9"/>
      <c r="L171" s="9"/>
      <c r="M171" s="9"/>
      <c r="N171" s="9"/>
    </row>
    <row r="172" spans="10:14" x14ac:dyDescent="0.35">
      <c r="J172" s="9"/>
      <c r="K172" s="9"/>
      <c r="L172" s="9"/>
      <c r="M172" s="9"/>
      <c r="N172" s="9"/>
    </row>
    <row r="173" spans="10:14" x14ac:dyDescent="0.35">
      <c r="J173" s="9"/>
      <c r="K173" s="9"/>
      <c r="L173" s="9"/>
      <c r="M173" s="9"/>
      <c r="N173" s="9"/>
    </row>
    <row r="174" spans="10:14" x14ac:dyDescent="0.35">
      <c r="J174" s="9"/>
      <c r="K174" s="9"/>
      <c r="L174" s="9"/>
      <c r="M174" s="9"/>
      <c r="N174" s="9"/>
    </row>
    <row r="175" spans="10:14" x14ac:dyDescent="0.35">
      <c r="J175" s="9"/>
      <c r="K175" s="9"/>
      <c r="L175" s="9"/>
      <c r="M175" s="9"/>
      <c r="N175" s="9"/>
    </row>
    <row r="176" spans="10:14" x14ac:dyDescent="0.35">
      <c r="J176" s="9"/>
      <c r="K176" s="9"/>
      <c r="L176" s="9"/>
      <c r="M176" s="9"/>
      <c r="N176" s="9"/>
    </row>
    <row r="177" spans="10:14" x14ac:dyDescent="0.35">
      <c r="J177" s="9"/>
      <c r="K177" s="9"/>
      <c r="L177" s="9"/>
      <c r="M177" s="9"/>
      <c r="N177" s="9"/>
    </row>
    <row r="178" spans="10:14" x14ac:dyDescent="0.35">
      <c r="J178" s="9"/>
      <c r="K178" s="9"/>
      <c r="L178" s="9"/>
      <c r="M178" s="9"/>
      <c r="N178" s="9"/>
    </row>
    <row r="179" spans="10:14" x14ac:dyDescent="0.35">
      <c r="J179" s="9"/>
      <c r="K179" s="9"/>
      <c r="L179" s="9"/>
      <c r="M179" s="9"/>
      <c r="N179" s="9"/>
    </row>
    <row r="180" spans="10:14" x14ac:dyDescent="0.35">
      <c r="J180" s="9"/>
      <c r="K180" s="9"/>
      <c r="L180" s="9"/>
      <c r="M180" s="9"/>
      <c r="N180" s="9"/>
    </row>
    <row r="181" spans="10:14" x14ac:dyDescent="0.35">
      <c r="J181" s="9"/>
      <c r="K181" s="9"/>
      <c r="L181" s="9"/>
      <c r="M181" s="9"/>
      <c r="N181" s="9"/>
    </row>
    <row r="182" spans="10:14" x14ac:dyDescent="0.35">
      <c r="J182" s="9"/>
      <c r="K182" s="9"/>
      <c r="L182" s="9"/>
      <c r="M182" s="9"/>
      <c r="N182" s="9"/>
    </row>
    <row r="183" spans="10:14" x14ac:dyDescent="0.35">
      <c r="J183" s="9"/>
      <c r="K183" s="9"/>
      <c r="L183" s="9"/>
      <c r="M183" s="9"/>
      <c r="N183" s="9"/>
    </row>
    <row r="184" spans="10:14" x14ac:dyDescent="0.35">
      <c r="J184" s="9"/>
      <c r="K184" s="9"/>
      <c r="L184" s="9"/>
      <c r="M184" s="9"/>
      <c r="N184" s="9"/>
    </row>
    <row r="185" spans="10:14" x14ac:dyDescent="0.35">
      <c r="J185" s="9"/>
      <c r="K185" s="9"/>
      <c r="L185" s="9"/>
      <c r="M185" s="9"/>
      <c r="N185" s="9"/>
    </row>
    <row r="186" spans="10:14" x14ac:dyDescent="0.35">
      <c r="J186" s="9"/>
      <c r="K186" s="9"/>
      <c r="L186" s="9"/>
      <c r="M186" s="9"/>
      <c r="N186" s="9"/>
    </row>
    <row r="187" spans="10:14" x14ac:dyDescent="0.35">
      <c r="J187" s="9"/>
      <c r="K187" s="9"/>
      <c r="L187" s="9"/>
      <c r="M187" s="9"/>
      <c r="N187" s="9"/>
    </row>
    <row r="188" spans="10:14" x14ac:dyDescent="0.35">
      <c r="J188" s="9"/>
      <c r="K188" s="9"/>
      <c r="L188" s="9"/>
      <c r="M188" s="9"/>
      <c r="N188" s="9"/>
    </row>
    <row r="189" spans="10:14" x14ac:dyDescent="0.35">
      <c r="J189" s="9"/>
      <c r="K189" s="9"/>
      <c r="L189" s="9"/>
      <c r="M189" s="9"/>
      <c r="N189" s="9"/>
    </row>
    <row r="190" spans="10:14" x14ac:dyDescent="0.35">
      <c r="J190" s="9"/>
      <c r="K190" s="9"/>
      <c r="L190" s="9"/>
      <c r="M190" s="9"/>
      <c r="N190" s="9"/>
    </row>
    <row r="191" spans="10:14" x14ac:dyDescent="0.35">
      <c r="J191" s="9"/>
      <c r="K191" s="9"/>
      <c r="L191" s="9"/>
      <c r="M191" s="9"/>
      <c r="N191" s="9"/>
    </row>
    <row r="192" spans="10:14" x14ac:dyDescent="0.35">
      <c r="J192" s="9"/>
      <c r="K192" s="9"/>
      <c r="L192" s="9"/>
      <c r="M192" s="9"/>
      <c r="N192" s="9"/>
    </row>
    <row r="193" spans="10:14" x14ac:dyDescent="0.35">
      <c r="J193" s="9"/>
      <c r="K193" s="9"/>
      <c r="L193" s="9"/>
      <c r="M193" s="9"/>
      <c r="N193" s="9"/>
    </row>
    <row r="194" spans="10:14" x14ac:dyDescent="0.35">
      <c r="J194" s="9"/>
      <c r="K194" s="9"/>
      <c r="L194" s="9"/>
      <c r="M194" s="9"/>
      <c r="N194" s="9"/>
    </row>
    <row r="195" spans="10:14" x14ac:dyDescent="0.35">
      <c r="J195" s="9"/>
      <c r="K195" s="9"/>
      <c r="L195" s="9"/>
      <c r="M195" s="9"/>
      <c r="N195" s="9"/>
    </row>
    <row r="196" spans="10:14" x14ac:dyDescent="0.35">
      <c r="J196" s="9"/>
      <c r="K196" s="9"/>
      <c r="L196" s="9"/>
      <c r="M196" s="9"/>
      <c r="N196" s="9"/>
    </row>
    <row r="197" spans="10:14" x14ac:dyDescent="0.35">
      <c r="J197" s="9"/>
      <c r="K197" s="9"/>
      <c r="L197" s="9"/>
      <c r="M197" s="9"/>
      <c r="N197" s="9"/>
    </row>
    <row r="198" spans="10:14" x14ac:dyDescent="0.35">
      <c r="J198" s="9"/>
      <c r="K198" s="9"/>
      <c r="L198" s="9"/>
      <c r="M198" s="9"/>
      <c r="N198" s="9"/>
    </row>
    <row r="199" spans="10:14" x14ac:dyDescent="0.35">
      <c r="J199" s="9"/>
      <c r="K199" s="9"/>
      <c r="L199" s="9"/>
      <c r="M199" s="9"/>
      <c r="N199" s="9"/>
    </row>
    <row r="200" spans="10:14" x14ac:dyDescent="0.35">
      <c r="J200" s="9"/>
      <c r="K200" s="9"/>
      <c r="L200" s="9"/>
      <c r="M200" s="9"/>
      <c r="N200" s="9"/>
    </row>
    <row r="201" spans="10:14" x14ac:dyDescent="0.35">
      <c r="J201" s="9"/>
      <c r="K201" s="9"/>
      <c r="L201" s="9"/>
      <c r="M201" s="9"/>
      <c r="N201" s="9"/>
    </row>
    <row r="202" spans="10:14" x14ac:dyDescent="0.35">
      <c r="J202" s="9"/>
      <c r="K202" s="9"/>
      <c r="L202" s="9"/>
      <c r="M202" s="9"/>
      <c r="N202" s="9"/>
    </row>
    <row r="203" spans="10:14" x14ac:dyDescent="0.35">
      <c r="J203" s="9"/>
      <c r="K203" s="9"/>
      <c r="L203" s="9"/>
      <c r="M203" s="9"/>
      <c r="N203" s="9"/>
    </row>
    <row r="204" spans="10:14" x14ac:dyDescent="0.35">
      <c r="J204" s="9"/>
      <c r="K204" s="9"/>
      <c r="L204" s="9"/>
      <c r="M204" s="9"/>
      <c r="N204" s="9"/>
    </row>
    <row r="205" spans="10:14" x14ac:dyDescent="0.35">
      <c r="J205" s="9"/>
      <c r="K205" s="9"/>
      <c r="L205" s="9"/>
      <c r="M205" s="9"/>
      <c r="N205" s="9"/>
    </row>
    <row r="206" spans="10:14" x14ac:dyDescent="0.35">
      <c r="J206" s="9"/>
      <c r="K206" s="9"/>
      <c r="L206" s="9"/>
      <c r="M206" s="9"/>
      <c r="N206" s="9"/>
    </row>
    <row r="207" spans="10:14" x14ac:dyDescent="0.35">
      <c r="J207" s="9"/>
      <c r="K207" s="9"/>
      <c r="L207" s="9"/>
      <c r="M207" s="9"/>
      <c r="N207" s="9"/>
    </row>
    <row r="208" spans="10:14" x14ac:dyDescent="0.35">
      <c r="J208" s="9"/>
      <c r="K208" s="9"/>
      <c r="L208" s="9"/>
      <c r="M208" s="9"/>
      <c r="N208" s="9"/>
    </row>
    <row r="209" spans="10:14" x14ac:dyDescent="0.35">
      <c r="J209" s="9"/>
      <c r="K209" s="9"/>
      <c r="L209" s="9"/>
      <c r="M209" s="9"/>
      <c r="N209" s="9"/>
    </row>
    <row r="210" spans="10:14" x14ac:dyDescent="0.35">
      <c r="J210" s="9"/>
      <c r="K210" s="9"/>
      <c r="L210" s="9"/>
      <c r="M210" s="9"/>
      <c r="N210" s="9"/>
    </row>
    <row r="211" spans="10:14" x14ac:dyDescent="0.35">
      <c r="J211" s="9"/>
      <c r="K211" s="9"/>
      <c r="L211" s="9"/>
      <c r="M211" s="9"/>
      <c r="N211" s="9"/>
    </row>
    <row r="212" spans="10:14" x14ac:dyDescent="0.35">
      <c r="J212" s="9"/>
      <c r="K212" s="9"/>
      <c r="L212" s="9"/>
      <c r="M212" s="9"/>
      <c r="N212" s="9"/>
    </row>
    <row r="213" spans="10:14" x14ac:dyDescent="0.35">
      <c r="J213" s="9"/>
      <c r="K213" s="9"/>
      <c r="L213" s="9"/>
      <c r="M213" s="9"/>
      <c r="N213" s="9"/>
    </row>
    <row r="214" spans="10:14" x14ac:dyDescent="0.35">
      <c r="J214" s="9"/>
      <c r="K214" s="9"/>
      <c r="L214" s="9"/>
      <c r="M214" s="9"/>
      <c r="N214" s="9"/>
    </row>
    <row r="215" spans="10:14" x14ac:dyDescent="0.35">
      <c r="J215" s="9"/>
      <c r="K215" s="9"/>
      <c r="L215" s="9"/>
      <c r="M215" s="9"/>
      <c r="N215" s="9"/>
    </row>
    <row r="216" spans="10:14" x14ac:dyDescent="0.35">
      <c r="J216" s="9"/>
      <c r="K216" s="9"/>
      <c r="L216" s="9"/>
      <c r="M216" s="9"/>
      <c r="N216" s="9"/>
    </row>
    <row r="217" spans="10:14" x14ac:dyDescent="0.35">
      <c r="J217" s="9"/>
      <c r="K217" s="9"/>
      <c r="L217" s="9"/>
      <c r="M217" s="9"/>
      <c r="N217" s="9"/>
    </row>
    <row r="218" spans="10:14" x14ac:dyDescent="0.35">
      <c r="J218" s="9"/>
      <c r="K218" s="9"/>
      <c r="L218" s="9"/>
      <c r="M218" s="9"/>
      <c r="N218" s="9"/>
    </row>
    <row r="219" spans="10:14" x14ac:dyDescent="0.35">
      <c r="J219" s="9"/>
      <c r="K219" s="9"/>
      <c r="L219" s="9"/>
      <c r="M219" s="9"/>
      <c r="N219" s="9"/>
    </row>
    <row r="220" spans="10:14" x14ac:dyDescent="0.35">
      <c r="J220" s="9"/>
      <c r="K220" s="9"/>
      <c r="L220" s="9"/>
      <c r="M220" s="9"/>
      <c r="N220" s="9"/>
    </row>
    <row r="221" spans="10:14" x14ac:dyDescent="0.35">
      <c r="J221" s="9"/>
      <c r="K221" s="9"/>
      <c r="L221" s="9"/>
      <c r="M221" s="9"/>
      <c r="N221" s="9"/>
    </row>
    <row r="222" spans="10:14" x14ac:dyDescent="0.35">
      <c r="J222" s="9"/>
      <c r="K222" s="9"/>
      <c r="L222" s="9"/>
      <c r="M222" s="9"/>
      <c r="N222" s="9"/>
    </row>
    <row r="223" spans="10:14" x14ac:dyDescent="0.35">
      <c r="J223" s="9"/>
      <c r="K223" s="9"/>
      <c r="L223" s="9"/>
      <c r="M223" s="9"/>
      <c r="N223" s="9"/>
    </row>
    <row r="224" spans="10:14" x14ac:dyDescent="0.35">
      <c r="J224" s="9"/>
      <c r="K224" s="9"/>
      <c r="L224" s="9"/>
      <c r="M224" s="9"/>
      <c r="N224" s="9"/>
    </row>
    <row r="225" spans="10:14" x14ac:dyDescent="0.35">
      <c r="J225" s="9"/>
      <c r="K225" s="9"/>
      <c r="L225" s="9"/>
      <c r="M225" s="9"/>
      <c r="N225" s="9"/>
    </row>
    <row r="226" spans="10:14" x14ac:dyDescent="0.35">
      <c r="J226" s="9"/>
      <c r="K226" s="9"/>
      <c r="L226" s="9"/>
      <c r="M226" s="9"/>
      <c r="N226" s="9"/>
    </row>
    <row r="227" spans="10:14" x14ac:dyDescent="0.35">
      <c r="J227" s="9"/>
      <c r="K227" s="9"/>
      <c r="L227" s="9"/>
      <c r="M227" s="9"/>
      <c r="N227" s="9"/>
    </row>
    <row r="228" spans="10:14" x14ac:dyDescent="0.35">
      <c r="J228" s="9"/>
      <c r="K228" s="9"/>
      <c r="L228" s="9"/>
      <c r="M228" s="9"/>
      <c r="N228" s="9"/>
    </row>
    <row r="229" spans="10:14" x14ac:dyDescent="0.35">
      <c r="J229" s="9"/>
      <c r="K229" s="9"/>
      <c r="L229" s="9"/>
      <c r="M229" s="9"/>
      <c r="N229" s="9"/>
    </row>
    <row r="230" spans="10:14" x14ac:dyDescent="0.35">
      <c r="J230" s="9"/>
      <c r="K230" s="9"/>
      <c r="L230" s="9"/>
      <c r="M230" s="9"/>
      <c r="N230" s="9"/>
    </row>
    <row r="231" spans="10:14" x14ac:dyDescent="0.35">
      <c r="J231" s="9"/>
      <c r="K231" s="9"/>
      <c r="L231" s="9"/>
      <c r="M231" s="9"/>
      <c r="N231" s="9"/>
    </row>
    <row r="232" spans="10:14" x14ac:dyDescent="0.35">
      <c r="J232" s="9"/>
      <c r="K232" s="9"/>
      <c r="L232" s="9"/>
      <c r="M232" s="9"/>
      <c r="N232" s="9"/>
    </row>
    <row r="233" spans="10:14" x14ac:dyDescent="0.35">
      <c r="J233" s="9"/>
      <c r="K233" s="9"/>
      <c r="L233" s="9"/>
      <c r="M233" s="9"/>
      <c r="N233" s="9"/>
    </row>
    <row r="234" spans="10:14" x14ac:dyDescent="0.35">
      <c r="J234" s="9"/>
      <c r="K234" s="9"/>
      <c r="L234" s="9"/>
      <c r="M234" s="9"/>
      <c r="N234" s="9"/>
    </row>
    <row r="235" spans="10:14" x14ac:dyDescent="0.35">
      <c r="J235" s="9"/>
      <c r="K235" s="9"/>
      <c r="L235" s="9"/>
      <c r="M235" s="9"/>
      <c r="N235" s="9"/>
    </row>
    <row r="236" spans="10:14" x14ac:dyDescent="0.35">
      <c r="J236" s="9"/>
      <c r="K236" s="9"/>
      <c r="L236" s="9"/>
      <c r="M236" s="9"/>
      <c r="N236" s="9"/>
    </row>
    <row r="237" spans="10:14" x14ac:dyDescent="0.35">
      <c r="J237" s="9"/>
      <c r="K237" s="9"/>
      <c r="L237" s="9"/>
      <c r="M237" s="9"/>
      <c r="N237" s="9"/>
    </row>
    <row r="238" spans="10:14" x14ac:dyDescent="0.35">
      <c r="J238" s="9"/>
      <c r="K238" s="9"/>
      <c r="L238" s="9"/>
      <c r="M238" s="9"/>
      <c r="N238" s="9"/>
    </row>
    <row r="239" spans="10:14" x14ac:dyDescent="0.35">
      <c r="J239" s="9"/>
      <c r="K239" s="9"/>
      <c r="L239" s="9"/>
      <c r="M239" s="9"/>
      <c r="N239" s="9"/>
    </row>
    <row r="240" spans="10:14" x14ac:dyDescent="0.35">
      <c r="J240" s="9"/>
      <c r="K240" s="9"/>
      <c r="L240" s="9"/>
      <c r="M240" s="9"/>
      <c r="N240" s="9"/>
    </row>
    <row r="241" spans="10:14" x14ac:dyDescent="0.35">
      <c r="J241" s="9"/>
      <c r="K241" s="9"/>
      <c r="L241" s="9"/>
      <c r="M241" s="9"/>
      <c r="N241" s="9"/>
    </row>
    <row r="242" spans="10:14" x14ac:dyDescent="0.35">
      <c r="J242" s="9"/>
      <c r="K242" s="9"/>
      <c r="L242" s="9"/>
      <c r="M242" s="9"/>
      <c r="N242" s="9"/>
    </row>
    <row r="243" spans="10:14" x14ac:dyDescent="0.35">
      <c r="J243" s="9"/>
      <c r="K243" s="9"/>
      <c r="L243" s="9"/>
      <c r="M243" s="9"/>
      <c r="N243" s="9"/>
    </row>
    <row r="244" spans="10:14" x14ac:dyDescent="0.35">
      <c r="J244" s="9"/>
      <c r="K244" s="9"/>
      <c r="L244" s="9"/>
      <c r="M244" s="9"/>
      <c r="N244" s="9"/>
    </row>
    <row r="245" spans="10:14" x14ac:dyDescent="0.35">
      <c r="J245" s="9"/>
      <c r="K245" s="9"/>
      <c r="L245" s="9"/>
      <c r="M245" s="9"/>
      <c r="N245" s="9"/>
    </row>
    <row r="246" spans="10:14" x14ac:dyDescent="0.35">
      <c r="J246" s="9"/>
      <c r="K246" s="9"/>
      <c r="L246" s="9"/>
      <c r="M246" s="9"/>
      <c r="N246" s="9"/>
    </row>
    <row r="247" spans="10:14" x14ac:dyDescent="0.35">
      <c r="J247" s="9"/>
      <c r="K247" s="9"/>
      <c r="L247" s="9"/>
      <c r="M247" s="9"/>
      <c r="N247" s="9"/>
    </row>
    <row r="248" spans="10:14" x14ac:dyDescent="0.35">
      <c r="J248" s="9"/>
      <c r="K248" s="9"/>
      <c r="L248" s="9"/>
      <c r="M248" s="9"/>
      <c r="N248" s="9"/>
    </row>
    <row r="249" spans="10:14" x14ac:dyDescent="0.35">
      <c r="J249" s="9"/>
      <c r="K249" s="9"/>
      <c r="L249" s="9"/>
      <c r="M249" s="9"/>
      <c r="N249" s="9"/>
    </row>
    <row r="250" spans="10:14" x14ac:dyDescent="0.35">
      <c r="J250" s="9"/>
      <c r="K250" s="9"/>
      <c r="L250" s="9"/>
      <c r="M250" s="9"/>
      <c r="N250" s="9"/>
    </row>
    <row r="251" spans="10:14" x14ac:dyDescent="0.35">
      <c r="J251" s="9"/>
      <c r="K251" s="9"/>
      <c r="L251" s="9"/>
      <c r="M251" s="9"/>
      <c r="N251" s="9"/>
    </row>
    <row r="252" spans="10:14" x14ac:dyDescent="0.35">
      <c r="J252" s="9"/>
      <c r="K252" s="9"/>
      <c r="L252" s="9"/>
      <c r="M252" s="9"/>
      <c r="N252" s="9"/>
    </row>
    <row r="253" spans="10:14" x14ac:dyDescent="0.35">
      <c r="J253" s="9"/>
      <c r="K253" s="9"/>
      <c r="L253" s="9"/>
      <c r="M253" s="9"/>
      <c r="N253" s="9"/>
    </row>
    <row r="254" spans="10:14" x14ac:dyDescent="0.35">
      <c r="J254" s="9"/>
      <c r="K254" s="9"/>
      <c r="L254" s="9"/>
      <c r="M254" s="9"/>
      <c r="N254" s="9"/>
    </row>
    <row r="255" spans="10:14" x14ac:dyDescent="0.35">
      <c r="J255" s="9"/>
      <c r="K255" s="9"/>
      <c r="L255" s="9"/>
      <c r="M255" s="9"/>
      <c r="N255" s="9"/>
    </row>
    <row r="256" spans="10:14" x14ac:dyDescent="0.35">
      <c r="J256" s="9"/>
      <c r="K256" s="9"/>
      <c r="L256" s="9"/>
      <c r="M256" s="9"/>
      <c r="N256" s="9"/>
    </row>
    <row r="257" spans="10:14" x14ac:dyDescent="0.35">
      <c r="J257" s="9"/>
      <c r="K257" s="9"/>
      <c r="L257" s="9"/>
      <c r="M257" s="9"/>
      <c r="N257" s="9"/>
    </row>
    <row r="258" spans="10:14" x14ac:dyDescent="0.35">
      <c r="J258" s="9"/>
      <c r="K258" s="9"/>
      <c r="L258" s="9"/>
      <c r="M258" s="9"/>
      <c r="N258" s="9"/>
    </row>
  </sheetData>
  <mergeCells count="14">
    <mergeCell ref="A54:D54"/>
    <mergeCell ref="A71:D71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topLeftCell="I1" zoomScaleNormal="100" workbookViewId="0">
      <selection activeCell="K14" sqref="K14"/>
    </sheetView>
  </sheetViews>
  <sheetFormatPr defaultColWidth="9.1796875" defaultRowHeight="14.5" x14ac:dyDescent="0.35"/>
  <cols>
    <col min="1" max="1" width="18.26953125" style="37" customWidth="1"/>
    <col min="2" max="2" width="16.1796875" style="37" bestFit="1" customWidth="1"/>
    <col min="3" max="3" width="12.1796875" style="37" bestFit="1" customWidth="1"/>
    <col min="4" max="4" width="14.90625" style="37" bestFit="1" customWidth="1"/>
    <col min="5" max="9" width="9.1796875" style="37" customWidth="1"/>
    <col min="10" max="10" width="11.6328125" style="37" bestFit="1" customWidth="1"/>
    <col min="11" max="12" width="9.1796875" style="37" customWidth="1"/>
    <col min="13" max="13" width="10.81640625" style="37" bestFit="1" customWidth="1"/>
    <col min="14" max="14" width="41.90625" style="37" bestFit="1" customWidth="1"/>
    <col min="15" max="15" width="9.1796875" style="37" customWidth="1"/>
    <col min="16" max="16" width="23.1796875" style="37" customWidth="1"/>
    <col min="17" max="17" width="9.1796875" style="37" customWidth="1"/>
    <col min="18" max="18" width="19.81640625" style="37" customWidth="1"/>
    <col min="19" max="19" width="9.1796875" style="37" customWidth="1"/>
    <col min="20" max="20" width="13.1796875" style="37" customWidth="1"/>
    <col min="21" max="21" width="9.1796875" style="37"/>
    <col min="22" max="22" width="14.1796875" style="37" bestFit="1" customWidth="1"/>
    <col min="23" max="23" width="9.1796875" style="37"/>
    <col min="24" max="24" width="5.453125" style="37" customWidth="1"/>
    <col min="25" max="25" width="27.453125" style="37" bestFit="1" customWidth="1"/>
    <col min="26" max="26" width="9.1796875" style="37"/>
    <col min="27" max="27" width="15.81640625" style="37" customWidth="1"/>
    <col min="28" max="30" width="9.1796875" style="37"/>
    <col min="31" max="31" width="17.81640625" style="37" bestFit="1" customWidth="1"/>
    <col min="32" max="32" width="4.08984375" style="37" customWidth="1"/>
    <col min="33" max="16384" width="9.1796875" style="37"/>
  </cols>
  <sheetData>
    <row r="1" spans="1:31" ht="15" thickBot="1" x14ac:dyDescent="0.4">
      <c r="A1" s="338" t="s">
        <v>26</v>
      </c>
      <c r="B1" s="339"/>
      <c r="C1" s="339"/>
      <c r="D1" s="339"/>
      <c r="E1" s="340"/>
      <c r="F1" s="95"/>
      <c r="G1" s="95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31" ht="16" thickBot="1" x14ac:dyDescent="0.4">
      <c r="A2" s="91" t="s">
        <v>26</v>
      </c>
      <c r="B2" s="92" t="s">
        <v>21</v>
      </c>
      <c r="C2" s="92" t="s">
        <v>21</v>
      </c>
      <c r="D2" s="92" t="s">
        <v>21</v>
      </c>
      <c r="E2" s="93" t="s">
        <v>21</v>
      </c>
      <c r="F2" s="96"/>
      <c r="G2" s="96"/>
      <c r="I2" s="64" t="s">
        <v>24</v>
      </c>
      <c r="J2" s="65"/>
      <c r="K2" s="66" t="s">
        <v>310</v>
      </c>
      <c r="L2" s="63"/>
      <c r="M2" s="67" t="s">
        <v>27</v>
      </c>
      <c r="N2" s="68"/>
      <c r="O2" s="68"/>
      <c r="P2" s="68"/>
      <c r="Q2" s="68"/>
      <c r="R2" s="68"/>
      <c r="S2" s="69"/>
      <c r="T2" s="66" t="s">
        <v>48</v>
      </c>
      <c r="U2" s="70"/>
      <c r="V2" s="66" t="s">
        <v>1</v>
      </c>
      <c r="W2" s="70"/>
      <c r="X2" s="66" t="s">
        <v>135</v>
      </c>
      <c r="Y2" s="70"/>
      <c r="Z2" s="70"/>
      <c r="AA2" s="66" t="s">
        <v>298</v>
      </c>
      <c r="AB2" s="70"/>
    </row>
    <row r="3" spans="1:31" ht="26" x14ac:dyDescent="0.35">
      <c r="A3" s="88"/>
      <c r="B3" s="89" t="s">
        <v>36</v>
      </c>
      <c r="C3" s="89" t="s">
        <v>16</v>
      </c>
      <c r="D3" s="89" t="s">
        <v>160</v>
      </c>
      <c r="E3" s="90" t="s">
        <v>12</v>
      </c>
      <c r="F3" s="90" t="s">
        <v>161</v>
      </c>
      <c r="G3" s="90"/>
      <c r="H3" s="87" t="s">
        <v>29</v>
      </c>
      <c r="I3" s="52"/>
      <c r="J3" s="53"/>
      <c r="K3" s="50"/>
      <c r="L3" s="51"/>
      <c r="M3" s="54"/>
      <c r="N3" s="55"/>
      <c r="O3" s="55"/>
      <c r="P3" s="55"/>
      <c r="Q3" s="55"/>
      <c r="R3" s="55"/>
      <c r="S3" s="56"/>
      <c r="T3" s="50"/>
      <c r="U3" s="72"/>
      <c r="V3" s="50"/>
      <c r="W3" s="72"/>
      <c r="X3" s="50"/>
      <c r="Y3" s="72"/>
      <c r="Z3" s="72"/>
      <c r="AA3" s="50" t="s">
        <v>238</v>
      </c>
      <c r="AB3" s="72"/>
    </row>
    <row r="4" spans="1:31" ht="17" customHeight="1" x14ac:dyDescent="0.35">
      <c r="A4" s="37" t="s">
        <v>16</v>
      </c>
      <c r="B4" s="5" t="s">
        <v>40</v>
      </c>
      <c r="C4" s="5" t="s">
        <v>41</v>
      </c>
      <c r="D4" s="5" t="s">
        <v>42</v>
      </c>
      <c r="E4" s="62" t="s">
        <v>12</v>
      </c>
      <c r="F4" s="62" t="s">
        <v>43</v>
      </c>
      <c r="G4" s="62"/>
      <c r="I4" s="99" t="s">
        <v>163</v>
      </c>
      <c r="J4" s="98" t="s">
        <v>162</v>
      </c>
      <c r="K4" s="57" t="s">
        <v>23</v>
      </c>
      <c r="L4" s="58" t="s">
        <v>28</v>
      </c>
      <c r="M4" s="57" t="s">
        <v>27</v>
      </c>
      <c r="N4" s="59" t="s">
        <v>30</v>
      </c>
      <c r="O4" s="59" t="s">
        <v>31</v>
      </c>
      <c r="P4" s="59" t="s">
        <v>32</v>
      </c>
      <c r="Q4" s="59" t="s">
        <v>33</v>
      </c>
      <c r="R4" s="59" t="s">
        <v>34</v>
      </c>
      <c r="S4" s="58" t="s">
        <v>35</v>
      </c>
      <c r="T4" s="57" t="s">
        <v>141</v>
      </c>
      <c r="U4" s="73" t="s">
        <v>28</v>
      </c>
      <c r="V4" s="57" t="s">
        <v>141</v>
      </c>
      <c r="W4" s="73" t="s">
        <v>28</v>
      </c>
      <c r="X4" s="57" t="s">
        <v>236</v>
      </c>
      <c r="Y4" s="104" t="s">
        <v>157</v>
      </c>
      <c r="Z4" s="73" t="s">
        <v>28</v>
      </c>
      <c r="AA4" s="57" t="s">
        <v>239</v>
      </c>
      <c r="AB4" s="73" t="s">
        <v>28</v>
      </c>
    </row>
    <row r="5" spans="1:31" x14ac:dyDescent="0.35">
      <c r="A5" s="71" t="s">
        <v>36</v>
      </c>
      <c r="B5" s="5" t="s">
        <v>50</v>
      </c>
      <c r="C5" s="5" t="s">
        <v>51</v>
      </c>
      <c r="D5" s="5" t="s">
        <v>52</v>
      </c>
      <c r="E5" s="62"/>
      <c r="F5" s="5" t="s">
        <v>53</v>
      </c>
      <c r="G5" s="5"/>
      <c r="H5" s="60"/>
      <c r="I5" s="57"/>
      <c r="J5" s="58"/>
      <c r="K5" s="57"/>
      <c r="L5" s="58"/>
      <c r="M5" s="57"/>
      <c r="N5" s="59"/>
      <c r="O5" s="59"/>
      <c r="P5" s="59"/>
      <c r="Q5" s="59"/>
      <c r="R5" s="59"/>
      <c r="S5" s="58"/>
      <c r="T5" s="57"/>
      <c r="U5" s="73"/>
      <c r="V5" s="57"/>
      <c r="W5" s="73"/>
      <c r="X5" s="57"/>
      <c r="Y5" s="73"/>
      <c r="Z5" s="73"/>
      <c r="AA5" s="57"/>
      <c r="AB5" s="73"/>
    </row>
    <row r="6" spans="1:31" x14ac:dyDescent="0.35">
      <c r="A6" s="71" t="s">
        <v>160</v>
      </c>
      <c r="B6" s="5" t="s">
        <v>59</v>
      </c>
      <c r="C6" s="5" t="s">
        <v>71</v>
      </c>
      <c r="D6" s="5" t="s">
        <v>60</v>
      </c>
      <c r="E6" s="62"/>
      <c r="F6" s="5"/>
      <c r="G6" s="5"/>
      <c r="H6" s="7" t="s">
        <v>3</v>
      </c>
      <c r="I6" s="4" t="s">
        <v>48</v>
      </c>
      <c r="J6" s="6" t="s">
        <v>49</v>
      </c>
      <c r="K6" s="49" t="s">
        <v>44</v>
      </c>
      <c r="L6" s="47">
        <v>1</v>
      </c>
      <c r="M6" s="4" t="s">
        <v>38</v>
      </c>
      <c r="N6" s="74" t="s">
        <v>45</v>
      </c>
      <c r="O6" s="280">
        <v>0.42</v>
      </c>
      <c r="P6" s="74" t="s">
        <v>46</v>
      </c>
      <c r="Q6" s="280">
        <v>0.6</v>
      </c>
      <c r="R6" s="74" t="s">
        <v>47</v>
      </c>
      <c r="S6" s="259">
        <v>1.45</v>
      </c>
      <c r="T6" s="4" t="s">
        <v>12</v>
      </c>
      <c r="U6" s="5">
        <v>0.3695</v>
      </c>
      <c r="V6" s="103" t="s">
        <v>36</v>
      </c>
      <c r="W6" s="37">
        <v>1.4435</v>
      </c>
      <c r="X6" s="37" t="s">
        <v>170</v>
      </c>
      <c r="Y6" s="37" t="s">
        <v>171</v>
      </c>
      <c r="Z6" s="105">
        <v>1.15E-2</v>
      </c>
      <c r="AA6" s="107" t="s">
        <v>36</v>
      </c>
      <c r="AB6" s="37">
        <v>0.28039999999999998</v>
      </c>
      <c r="AE6" s="71"/>
    </row>
    <row r="7" spans="1:31" x14ac:dyDescent="0.35">
      <c r="A7" s="71" t="s">
        <v>12</v>
      </c>
      <c r="B7" s="5" t="s">
        <v>65</v>
      </c>
      <c r="C7" s="5" t="s">
        <v>18</v>
      </c>
      <c r="D7" s="5" t="s">
        <v>144</v>
      </c>
      <c r="E7" s="62"/>
      <c r="F7" s="5"/>
      <c r="G7" s="5"/>
      <c r="H7" s="7" t="s">
        <v>2</v>
      </c>
      <c r="I7" s="4" t="s">
        <v>58</v>
      </c>
      <c r="J7" s="6"/>
      <c r="K7" s="49" t="s">
        <v>83</v>
      </c>
      <c r="L7" s="259">
        <v>1.46</v>
      </c>
      <c r="M7" s="4" t="s">
        <v>55</v>
      </c>
      <c r="N7" s="74" t="s">
        <v>56</v>
      </c>
      <c r="O7" s="280">
        <v>0.42</v>
      </c>
      <c r="P7" s="74" t="s">
        <v>57</v>
      </c>
      <c r="Q7" s="75">
        <v>0.88</v>
      </c>
      <c r="R7" s="74" t="s">
        <v>138</v>
      </c>
      <c r="S7" s="259">
        <v>1.45</v>
      </c>
      <c r="T7" s="42" t="s">
        <v>241</v>
      </c>
      <c r="U7" s="283">
        <v>13.84</v>
      </c>
      <c r="V7" s="103" t="s">
        <v>16</v>
      </c>
      <c r="W7" s="105">
        <v>2.2349999999999999</v>
      </c>
      <c r="X7" s="37" t="s">
        <v>172</v>
      </c>
      <c r="Y7" s="37" t="s">
        <v>173</v>
      </c>
      <c r="Z7" s="105">
        <v>1.21E-2</v>
      </c>
      <c r="AA7" s="107" t="s">
        <v>16</v>
      </c>
      <c r="AB7" s="37">
        <v>0.4466</v>
      </c>
      <c r="AE7" s="71"/>
    </row>
    <row r="8" spans="1:31" x14ac:dyDescent="0.35">
      <c r="A8" s="71"/>
      <c r="B8" s="5" t="s">
        <v>70</v>
      </c>
      <c r="C8" s="5"/>
      <c r="D8" s="94" t="s">
        <v>159</v>
      </c>
      <c r="E8" s="62"/>
      <c r="F8" s="5"/>
      <c r="G8" s="5"/>
      <c r="H8" s="7"/>
      <c r="I8" s="4"/>
      <c r="J8" s="6"/>
      <c r="K8" s="49" t="s">
        <v>61</v>
      </c>
      <c r="L8" s="276">
        <v>1.52</v>
      </c>
      <c r="M8" s="4" t="s">
        <v>39</v>
      </c>
      <c r="N8" s="74" t="s">
        <v>62</v>
      </c>
      <c r="O8" s="280">
        <v>0.42</v>
      </c>
      <c r="P8" s="74" t="s">
        <v>63</v>
      </c>
      <c r="Q8" s="280">
        <v>1</v>
      </c>
      <c r="R8" s="74" t="s">
        <v>64</v>
      </c>
      <c r="S8" s="259">
        <v>2.63</v>
      </c>
      <c r="T8" s="42" t="s">
        <v>240</v>
      </c>
      <c r="U8" s="102">
        <v>0.35099999999999998</v>
      </c>
      <c r="V8" s="103" t="s">
        <v>160</v>
      </c>
      <c r="W8" s="37">
        <v>1.0931</v>
      </c>
      <c r="X8" s="37" t="s">
        <v>174</v>
      </c>
      <c r="Y8" s="37" t="s">
        <v>175</v>
      </c>
      <c r="Z8" s="105">
        <v>1.8200000000000001E-2</v>
      </c>
      <c r="AA8" s="107" t="s">
        <v>160</v>
      </c>
      <c r="AB8" s="37">
        <v>0.21809999999999999</v>
      </c>
    </row>
    <row r="9" spans="1:31" x14ac:dyDescent="0.35">
      <c r="A9" s="71"/>
      <c r="B9" s="5" t="s">
        <v>77</v>
      </c>
      <c r="C9" s="5"/>
      <c r="D9" s="94" t="s">
        <v>304</v>
      </c>
      <c r="E9" s="62"/>
      <c r="F9" s="5"/>
      <c r="G9" s="5"/>
      <c r="H9" s="7"/>
      <c r="I9" s="4"/>
      <c r="J9" s="6"/>
      <c r="K9" s="49" t="s">
        <v>66</v>
      </c>
      <c r="L9" s="259">
        <v>0.82</v>
      </c>
      <c r="M9" s="4"/>
      <c r="N9" s="74" t="s">
        <v>67</v>
      </c>
      <c r="O9" s="280">
        <v>0.42</v>
      </c>
      <c r="P9" s="74" t="s">
        <v>68</v>
      </c>
      <c r="Q9" s="280">
        <v>0.81</v>
      </c>
      <c r="R9" s="74" t="s">
        <v>69</v>
      </c>
      <c r="S9" s="259">
        <v>4</v>
      </c>
      <c r="T9" s="4" t="s">
        <v>142</v>
      </c>
      <c r="U9" s="284">
        <v>0.73</v>
      </c>
      <c r="V9" s="103" t="s">
        <v>12</v>
      </c>
      <c r="W9" s="37">
        <v>0.53669999999999995</v>
      </c>
      <c r="X9" s="37" t="s">
        <v>176</v>
      </c>
      <c r="Y9" s="37" t="s">
        <v>177</v>
      </c>
      <c r="Z9" s="105">
        <v>1.01E-2</v>
      </c>
      <c r="AA9" s="107" t="s">
        <v>12</v>
      </c>
      <c r="AB9" s="37">
        <v>0.1111</v>
      </c>
    </row>
    <row r="10" spans="1:31" x14ac:dyDescent="0.35">
      <c r="A10" s="71"/>
      <c r="B10" s="5" t="s">
        <v>82</v>
      </c>
      <c r="C10" s="5"/>
      <c r="D10" s="94"/>
      <c r="E10" s="62"/>
      <c r="F10" s="5"/>
      <c r="G10" s="5"/>
      <c r="H10" s="7"/>
      <c r="I10" s="100" t="s">
        <v>256</v>
      </c>
      <c r="J10" s="6"/>
      <c r="K10" s="49" t="s">
        <v>72</v>
      </c>
      <c r="L10" s="276">
        <v>0.08</v>
      </c>
      <c r="M10" s="4"/>
      <c r="N10" s="74" t="s">
        <v>73</v>
      </c>
      <c r="O10" s="280">
        <v>0.42</v>
      </c>
      <c r="P10" s="74" t="s">
        <v>74</v>
      </c>
      <c r="Q10" s="280">
        <v>0.51</v>
      </c>
      <c r="R10" s="74" t="s">
        <v>75</v>
      </c>
      <c r="S10" s="259">
        <v>1.81</v>
      </c>
      <c r="T10" s="4" t="s">
        <v>143</v>
      </c>
      <c r="U10" s="5">
        <v>0.35099999999999998</v>
      </c>
      <c r="V10" s="103"/>
      <c r="X10" s="37" t="s">
        <v>178</v>
      </c>
      <c r="Y10" s="37" t="s">
        <v>179</v>
      </c>
      <c r="Z10" s="105">
        <v>8.3999999999999995E-3</v>
      </c>
    </row>
    <row r="11" spans="1:31" x14ac:dyDescent="0.35">
      <c r="A11" s="71"/>
      <c r="B11" s="5" t="s">
        <v>86</v>
      </c>
      <c r="C11" s="5"/>
      <c r="D11" s="5"/>
      <c r="E11" s="62"/>
      <c r="F11" s="5"/>
      <c r="G11" s="5"/>
      <c r="H11" s="7"/>
      <c r="I11" s="4" t="s">
        <v>246</v>
      </c>
      <c r="J11" s="6"/>
      <c r="K11" s="49" t="s">
        <v>78</v>
      </c>
      <c r="L11" s="276">
        <v>1.82</v>
      </c>
      <c r="M11" s="4"/>
      <c r="N11" s="74" t="s">
        <v>79</v>
      </c>
      <c r="O11" s="280">
        <v>0.42</v>
      </c>
      <c r="P11" s="74" t="s">
        <v>80</v>
      </c>
      <c r="Q11" s="280">
        <v>0.72</v>
      </c>
      <c r="R11" s="74" t="s">
        <v>81</v>
      </c>
      <c r="S11" s="47">
        <v>1.2</v>
      </c>
      <c r="T11" s="4"/>
      <c r="U11" s="76"/>
      <c r="V11" s="38"/>
      <c r="X11" s="37" t="s">
        <v>180</v>
      </c>
      <c r="Y11" s="37" t="s">
        <v>181</v>
      </c>
      <c r="Z11" s="105">
        <v>2.29E-2</v>
      </c>
    </row>
    <row r="12" spans="1:31" x14ac:dyDescent="0.35">
      <c r="F12" s="97"/>
      <c r="G12" s="97"/>
      <c r="H12" s="7"/>
      <c r="I12" s="4" t="s">
        <v>250</v>
      </c>
      <c r="J12" s="6"/>
      <c r="K12" s="49" t="s">
        <v>54</v>
      </c>
      <c r="L12" s="259">
        <v>0.9</v>
      </c>
      <c r="M12" s="4"/>
      <c r="N12" s="74" t="s">
        <v>242</v>
      </c>
      <c r="O12" s="280">
        <v>0.42</v>
      </c>
      <c r="P12" s="74" t="s">
        <v>84</v>
      </c>
      <c r="Q12" s="75">
        <v>1.1200000000000001</v>
      </c>
      <c r="R12" s="74" t="s">
        <v>85</v>
      </c>
      <c r="S12" s="47">
        <v>2.42</v>
      </c>
      <c r="T12" s="4"/>
      <c r="U12" s="76"/>
      <c r="V12" s="38"/>
      <c r="X12" s="37" t="s">
        <v>182</v>
      </c>
      <c r="Y12" s="37" t="s">
        <v>183</v>
      </c>
      <c r="Z12" s="105">
        <v>6.0900000000000003E-2</v>
      </c>
    </row>
    <row r="13" spans="1:31" x14ac:dyDescent="0.35">
      <c r="F13" s="97"/>
      <c r="G13" s="97"/>
      <c r="H13" s="7"/>
      <c r="I13" s="4" t="s">
        <v>255</v>
      </c>
      <c r="J13" s="6"/>
      <c r="K13" s="4"/>
      <c r="L13" s="6"/>
      <c r="M13" s="4"/>
      <c r="N13" s="74" t="s">
        <v>243</v>
      </c>
      <c r="O13" s="280">
        <v>0.42</v>
      </c>
      <c r="P13" s="74" t="s">
        <v>87</v>
      </c>
      <c r="Q13" s="75">
        <v>1.01</v>
      </c>
      <c r="R13" s="74" t="s">
        <v>88</v>
      </c>
      <c r="S13" s="47">
        <v>2.44</v>
      </c>
      <c r="T13" s="4"/>
      <c r="U13" s="76"/>
      <c r="V13" s="38"/>
      <c r="X13" s="37" t="s">
        <v>184</v>
      </c>
      <c r="Y13" s="37" t="s">
        <v>185</v>
      </c>
      <c r="Z13" s="105">
        <v>7.3200000000000001E-2</v>
      </c>
    </row>
    <row r="14" spans="1:31" x14ac:dyDescent="0.35">
      <c r="A14" s="71"/>
      <c r="B14" s="5"/>
      <c r="C14" s="5"/>
      <c r="D14" s="5"/>
      <c r="E14" s="62"/>
      <c r="F14" s="5"/>
      <c r="G14" s="5"/>
      <c r="H14" s="7"/>
      <c r="I14" s="4"/>
      <c r="J14" s="6"/>
      <c r="K14" s="4" t="s">
        <v>311</v>
      </c>
      <c r="L14" s="6"/>
      <c r="M14" s="4"/>
      <c r="N14" s="74" t="s">
        <v>89</v>
      </c>
      <c r="O14" s="280">
        <v>0.42</v>
      </c>
      <c r="P14" s="74" t="s">
        <v>90</v>
      </c>
      <c r="Q14" s="75">
        <v>0.36</v>
      </c>
      <c r="R14" s="74" t="s">
        <v>91</v>
      </c>
      <c r="S14" s="259">
        <v>1.84</v>
      </c>
      <c r="T14" s="4"/>
      <c r="U14" s="76"/>
      <c r="V14" s="38"/>
      <c r="X14" s="37" t="s">
        <v>186</v>
      </c>
      <c r="Y14" s="37" t="s">
        <v>187</v>
      </c>
      <c r="Z14" s="105">
        <v>8.5300000000000001E-2</v>
      </c>
    </row>
    <row r="15" spans="1:31" x14ac:dyDescent="0.35">
      <c r="A15" s="71"/>
      <c r="B15" s="5"/>
      <c r="C15" s="5"/>
      <c r="D15" s="5"/>
      <c r="E15" s="62"/>
      <c r="F15" s="5"/>
      <c r="G15" s="5"/>
      <c r="H15" s="7"/>
      <c r="I15" s="4"/>
      <c r="J15" s="6"/>
      <c r="K15" s="49" t="s">
        <v>44</v>
      </c>
      <c r="L15" s="47">
        <v>1</v>
      </c>
      <c r="M15" s="4"/>
      <c r="N15" s="74" t="s">
        <v>92</v>
      </c>
      <c r="O15" s="280">
        <v>0.42</v>
      </c>
      <c r="P15" s="74" t="s">
        <v>93</v>
      </c>
      <c r="Q15" s="280">
        <v>0.3</v>
      </c>
      <c r="R15" s="74" t="s">
        <v>94</v>
      </c>
      <c r="S15" s="259">
        <v>1.55</v>
      </c>
      <c r="T15" s="4"/>
      <c r="U15" s="76"/>
      <c r="V15" s="38"/>
      <c r="X15" s="37" t="s">
        <v>188</v>
      </c>
      <c r="Y15" s="37" t="s">
        <v>189</v>
      </c>
      <c r="Z15" s="105">
        <v>0.12189999999999999</v>
      </c>
    </row>
    <row r="16" spans="1:31" x14ac:dyDescent="0.35">
      <c r="A16" s="71"/>
      <c r="B16" s="5"/>
      <c r="C16" s="5"/>
      <c r="D16" s="5"/>
      <c r="E16" s="62"/>
      <c r="F16" s="5"/>
      <c r="G16" s="5"/>
      <c r="H16" s="7"/>
      <c r="I16" s="100" t="s">
        <v>257</v>
      </c>
      <c r="J16" s="6"/>
      <c r="K16" s="4"/>
      <c r="L16" s="6"/>
      <c r="M16" s="4"/>
      <c r="N16" s="74" t="s">
        <v>139</v>
      </c>
      <c r="O16" s="280">
        <v>0.16</v>
      </c>
      <c r="P16" s="74" t="s">
        <v>95</v>
      </c>
      <c r="Q16" s="280">
        <v>2.0299999999999998</v>
      </c>
      <c r="R16" s="74" t="s">
        <v>96</v>
      </c>
      <c r="S16" s="259">
        <v>1.8</v>
      </c>
      <c r="T16" s="4"/>
      <c r="U16" s="76"/>
      <c r="V16" s="38"/>
      <c r="X16" s="37" t="s">
        <v>190</v>
      </c>
      <c r="Y16" s="37" t="s">
        <v>191</v>
      </c>
      <c r="Z16" s="105">
        <v>0.13400000000000001</v>
      </c>
    </row>
    <row r="17" spans="1:26" x14ac:dyDescent="0.35">
      <c r="A17" s="71"/>
      <c r="B17" s="5"/>
      <c r="C17" s="5"/>
      <c r="D17" s="5"/>
      <c r="E17" s="62"/>
      <c r="F17" s="5"/>
      <c r="G17" s="5"/>
      <c r="H17" s="7"/>
      <c r="I17" s="4" t="s">
        <v>246</v>
      </c>
      <c r="J17" s="6"/>
      <c r="K17" s="4"/>
      <c r="L17" s="6"/>
      <c r="M17" s="4"/>
      <c r="N17" s="74" t="s">
        <v>97</v>
      </c>
      <c r="O17" s="280">
        <v>0.16</v>
      </c>
      <c r="P17" s="74" t="s">
        <v>98</v>
      </c>
      <c r="Q17" s="280">
        <v>1.32</v>
      </c>
      <c r="R17" s="74" t="s">
        <v>99</v>
      </c>
      <c r="S17" s="259">
        <v>4</v>
      </c>
      <c r="T17" s="4"/>
      <c r="U17" s="76"/>
      <c r="V17" s="38"/>
      <c r="X17" s="37" t="s">
        <v>192</v>
      </c>
      <c r="Y17" s="37" t="s">
        <v>193</v>
      </c>
      <c r="Z17" s="105">
        <v>0.1585</v>
      </c>
    </row>
    <row r="18" spans="1:26" x14ac:dyDescent="0.35">
      <c r="A18" s="151" t="s">
        <v>245</v>
      </c>
      <c r="B18" s="5"/>
      <c r="C18" s="152" t="s">
        <v>307</v>
      </c>
      <c r="D18" s="5"/>
      <c r="E18" s="159" t="s">
        <v>260</v>
      </c>
      <c r="F18" s="5"/>
      <c r="G18" s="5"/>
      <c r="H18" s="7"/>
      <c r="I18" s="4" t="s">
        <v>250</v>
      </c>
      <c r="J18" s="6"/>
      <c r="K18" s="4"/>
      <c r="L18" s="6"/>
      <c r="M18" s="4"/>
      <c r="N18" s="74" t="s">
        <v>100</v>
      </c>
      <c r="O18" s="75">
        <v>0.39</v>
      </c>
      <c r="P18" s="74" t="s">
        <v>101</v>
      </c>
      <c r="Q18" s="75">
        <v>1.92</v>
      </c>
      <c r="R18" s="74" t="s">
        <v>102</v>
      </c>
      <c r="S18" s="259">
        <v>4</v>
      </c>
      <c r="T18" s="4"/>
      <c r="U18" s="76"/>
      <c r="V18" s="38"/>
      <c r="X18" s="37" t="s">
        <v>194</v>
      </c>
      <c r="Y18" s="37" t="s">
        <v>195</v>
      </c>
      <c r="Z18" s="105">
        <v>0.17050000000000001</v>
      </c>
    </row>
    <row r="19" spans="1:26" x14ac:dyDescent="0.35">
      <c r="A19" s="71" t="s">
        <v>12</v>
      </c>
      <c r="B19" s="5"/>
      <c r="C19" s="5" t="s">
        <v>42</v>
      </c>
      <c r="D19" s="5"/>
      <c r="E19" s="62" t="s">
        <v>22</v>
      </c>
      <c r="F19" s="5"/>
      <c r="G19" s="5"/>
      <c r="H19" s="7"/>
      <c r="I19" s="4"/>
      <c r="J19" s="6"/>
      <c r="K19" s="4"/>
      <c r="L19" s="6"/>
      <c r="M19" s="4"/>
      <c r="N19" s="74" t="s">
        <v>103</v>
      </c>
      <c r="O19" s="280">
        <v>0.42</v>
      </c>
      <c r="P19" s="74" t="s">
        <v>104</v>
      </c>
      <c r="Q19" s="75">
        <v>0.82</v>
      </c>
      <c r="R19" s="74" t="s">
        <v>105</v>
      </c>
      <c r="S19" s="259">
        <v>1.47</v>
      </c>
      <c r="T19" s="4"/>
      <c r="U19" s="76"/>
      <c r="V19" s="38"/>
      <c r="X19" s="37" t="s">
        <v>196</v>
      </c>
      <c r="Y19" s="37" t="s">
        <v>197</v>
      </c>
      <c r="Z19" s="105">
        <v>0.19500000000000001</v>
      </c>
    </row>
    <row r="20" spans="1:26" x14ac:dyDescent="0.35">
      <c r="A20" s="71" t="s">
        <v>160</v>
      </c>
      <c r="B20" s="5"/>
      <c r="C20" s="5" t="s">
        <v>52</v>
      </c>
      <c r="D20" s="5"/>
      <c r="E20" s="62" t="s">
        <v>250</v>
      </c>
      <c r="F20" s="5"/>
      <c r="G20" s="5"/>
      <c r="H20" s="7"/>
      <c r="I20" s="4"/>
      <c r="J20" s="6"/>
      <c r="K20" s="4"/>
      <c r="L20" s="6"/>
      <c r="M20" s="4"/>
      <c r="N20" s="74" t="s">
        <v>106</v>
      </c>
      <c r="O20" s="280">
        <v>0.42</v>
      </c>
      <c r="P20" s="74" t="s">
        <v>107</v>
      </c>
      <c r="Q20" s="280">
        <v>0.8</v>
      </c>
      <c r="R20" s="74" t="s">
        <v>108</v>
      </c>
      <c r="S20" s="259">
        <v>1.43</v>
      </c>
      <c r="T20" s="4"/>
      <c r="U20" s="76"/>
      <c r="V20" s="38"/>
      <c r="X20" s="37" t="s">
        <v>198</v>
      </c>
      <c r="Y20" s="37" t="s">
        <v>199</v>
      </c>
      <c r="Z20" s="105">
        <v>0.24360000000000001</v>
      </c>
    </row>
    <row r="21" spans="1:26" x14ac:dyDescent="0.35">
      <c r="A21" s="71"/>
      <c r="B21" s="5"/>
      <c r="C21" s="5" t="s">
        <v>60</v>
      </c>
      <c r="D21" s="5"/>
      <c r="E21" s="62"/>
      <c r="F21" s="5"/>
      <c r="G21" s="5"/>
      <c r="H21" s="7"/>
      <c r="I21" s="4"/>
      <c r="J21" s="6"/>
      <c r="K21" s="4"/>
      <c r="L21" s="6"/>
      <c r="M21" s="4"/>
      <c r="N21" s="74" t="s">
        <v>109</v>
      </c>
      <c r="O21" s="280">
        <v>0.42</v>
      </c>
      <c r="P21" s="74" t="s">
        <v>110</v>
      </c>
      <c r="Q21" s="280">
        <v>1.06</v>
      </c>
      <c r="R21" s="74" t="s">
        <v>111</v>
      </c>
      <c r="S21" s="259">
        <v>1.5</v>
      </c>
      <c r="T21" s="4"/>
      <c r="U21" s="76"/>
      <c r="V21" s="38"/>
      <c r="X21" s="37" t="s">
        <v>200</v>
      </c>
      <c r="Y21" s="37" t="s">
        <v>201</v>
      </c>
      <c r="Z21" s="105">
        <v>0.30459999999999998</v>
      </c>
    </row>
    <row r="22" spans="1:26" x14ac:dyDescent="0.35">
      <c r="A22" s="71"/>
      <c r="B22" s="5"/>
      <c r="C22" s="5" t="s">
        <v>144</v>
      </c>
      <c r="D22" s="5"/>
      <c r="E22" s="62"/>
      <c r="F22" s="5"/>
      <c r="G22" s="5"/>
      <c r="H22" s="7"/>
      <c r="I22" s="4"/>
      <c r="J22" s="6"/>
      <c r="K22" s="4"/>
      <c r="L22" s="6"/>
      <c r="M22" s="4"/>
      <c r="N22" s="74" t="s">
        <v>112</v>
      </c>
      <c r="O22" s="280">
        <v>0.42</v>
      </c>
      <c r="P22" s="74" t="s">
        <v>113</v>
      </c>
      <c r="Q22" s="280">
        <v>1.75</v>
      </c>
      <c r="R22" s="74" t="s">
        <v>114</v>
      </c>
      <c r="S22" s="259">
        <v>1.5</v>
      </c>
      <c r="T22" s="4"/>
      <c r="U22" s="76"/>
      <c r="V22" s="38"/>
      <c r="X22" s="37" t="s">
        <v>202</v>
      </c>
      <c r="Y22" s="37" t="s">
        <v>203</v>
      </c>
      <c r="Z22" s="105">
        <v>0.34110000000000001</v>
      </c>
    </row>
    <row r="23" spans="1:26" x14ac:dyDescent="0.35">
      <c r="A23" s="71"/>
      <c r="B23" s="5"/>
      <c r="C23" s="94" t="s">
        <v>304</v>
      </c>
      <c r="D23" s="5"/>
      <c r="E23" s="62"/>
      <c r="F23" s="5"/>
      <c r="G23" s="5"/>
      <c r="H23" s="7"/>
      <c r="I23" s="4"/>
      <c r="J23" s="6"/>
      <c r="K23" s="4"/>
      <c r="L23" s="6"/>
      <c r="M23" s="4"/>
      <c r="N23" s="74" t="s">
        <v>140</v>
      </c>
      <c r="O23" s="280">
        <v>0.42</v>
      </c>
      <c r="P23" s="74" t="s">
        <v>116</v>
      </c>
      <c r="Q23" s="280">
        <v>1</v>
      </c>
      <c r="R23" s="74" t="s">
        <v>117</v>
      </c>
      <c r="S23" s="259">
        <v>1.87</v>
      </c>
      <c r="T23" s="4"/>
      <c r="U23" s="76"/>
      <c r="V23" s="38"/>
      <c r="X23" s="37" t="s">
        <v>204</v>
      </c>
      <c r="Y23" s="37" t="s">
        <v>205</v>
      </c>
      <c r="Z23" s="105">
        <v>0.51170000000000004</v>
      </c>
    </row>
    <row r="24" spans="1:26" ht="15" customHeight="1" x14ac:dyDescent="0.35">
      <c r="A24" s="71"/>
      <c r="B24" s="5"/>
      <c r="C24" s="94"/>
      <c r="D24" s="5"/>
      <c r="E24" s="62"/>
      <c r="F24" s="5"/>
      <c r="G24" s="5"/>
      <c r="H24" s="7"/>
      <c r="I24" s="4"/>
      <c r="J24" s="6"/>
      <c r="K24" s="4"/>
      <c r="L24" s="6"/>
      <c r="M24" s="4"/>
      <c r="N24" s="74" t="s">
        <v>118</v>
      </c>
      <c r="O24" s="280">
        <v>0.42</v>
      </c>
      <c r="P24" s="74" t="s">
        <v>119</v>
      </c>
      <c r="Q24" s="75">
        <v>0</v>
      </c>
      <c r="R24" s="74" t="s">
        <v>120</v>
      </c>
      <c r="S24" s="259">
        <v>1.47</v>
      </c>
      <c r="T24" s="4"/>
      <c r="U24" s="76"/>
      <c r="V24" s="38"/>
      <c r="X24" s="37" t="s">
        <v>206</v>
      </c>
      <c r="Y24" s="37" t="s">
        <v>207</v>
      </c>
      <c r="Z24" s="105">
        <v>0.3654</v>
      </c>
    </row>
    <row r="25" spans="1:26" x14ac:dyDescent="0.35">
      <c r="A25" s="71"/>
      <c r="B25" s="5"/>
      <c r="C25" s="5"/>
      <c r="D25" s="5"/>
      <c r="E25" s="62"/>
      <c r="F25" s="5"/>
      <c r="G25" s="5"/>
      <c r="H25" s="7"/>
      <c r="I25" s="4"/>
      <c r="J25" s="6"/>
      <c r="K25" s="4"/>
      <c r="L25" s="6"/>
      <c r="M25" s="4"/>
      <c r="N25" s="74" t="s">
        <v>121</v>
      </c>
      <c r="O25" s="75">
        <v>0</v>
      </c>
      <c r="P25" s="5"/>
      <c r="Q25" s="46"/>
      <c r="R25" s="74" t="s">
        <v>122</v>
      </c>
      <c r="S25" s="259">
        <v>2.08</v>
      </c>
      <c r="T25" s="4"/>
      <c r="U25" s="76"/>
      <c r="V25" s="38"/>
      <c r="X25" s="37" t="s">
        <v>208</v>
      </c>
      <c r="Y25" s="37" t="s">
        <v>209</v>
      </c>
      <c r="Z25" s="105">
        <v>0.48720000000000002</v>
      </c>
    </row>
    <row r="26" spans="1:26" x14ac:dyDescent="0.35">
      <c r="A26" s="71"/>
      <c r="B26" s="5"/>
      <c r="C26" s="5"/>
      <c r="D26" s="5"/>
      <c r="E26" s="62"/>
      <c r="F26" s="5"/>
      <c r="G26" s="5"/>
      <c r="H26" s="7"/>
      <c r="I26" s="4"/>
      <c r="J26" s="6"/>
      <c r="K26" s="4"/>
      <c r="L26" s="6"/>
      <c r="M26" s="4"/>
      <c r="N26" s="74" t="s">
        <v>119</v>
      </c>
      <c r="O26" s="75">
        <v>0</v>
      </c>
      <c r="P26" s="5"/>
      <c r="Q26" s="46"/>
      <c r="R26" s="74" t="s">
        <v>124</v>
      </c>
      <c r="S26" s="259">
        <v>1.1100000000000001</v>
      </c>
      <c r="T26" s="4"/>
      <c r="U26" s="76"/>
      <c r="V26" s="38"/>
      <c r="X26" s="37" t="s">
        <v>210</v>
      </c>
      <c r="Y26" s="37" t="s">
        <v>211</v>
      </c>
      <c r="Z26" s="105">
        <v>0.60909999999999997</v>
      </c>
    </row>
    <row r="27" spans="1:26" x14ac:dyDescent="0.35">
      <c r="A27" s="71"/>
      <c r="B27" s="5"/>
      <c r="C27" s="5"/>
      <c r="D27" s="5"/>
      <c r="E27" s="62"/>
      <c r="F27" s="5"/>
      <c r="G27" s="5"/>
      <c r="H27" s="7"/>
      <c r="I27" s="4"/>
      <c r="J27" s="6"/>
      <c r="K27" s="4"/>
      <c r="L27" s="6"/>
      <c r="M27" s="4"/>
      <c r="N27" s="5"/>
      <c r="O27" s="46"/>
      <c r="P27" s="5"/>
      <c r="Q27" s="46"/>
      <c r="R27" s="74" t="s">
        <v>125</v>
      </c>
      <c r="S27" s="259">
        <v>1.85</v>
      </c>
      <c r="T27" s="4"/>
      <c r="U27" s="76"/>
      <c r="V27" s="38"/>
      <c r="X27" s="37" t="s">
        <v>212</v>
      </c>
      <c r="Y27" s="37" t="s">
        <v>213</v>
      </c>
      <c r="Z27" s="105">
        <v>0.70650000000000002</v>
      </c>
    </row>
    <row r="28" spans="1:26" x14ac:dyDescent="0.35">
      <c r="A28" s="71"/>
      <c r="B28" s="5"/>
      <c r="C28" s="5"/>
      <c r="D28" s="5"/>
      <c r="E28" s="62"/>
      <c r="F28" s="5"/>
      <c r="G28" s="5"/>
      <c r="H28" s="7"/>
      <c r="I28" s="4"/>
      <c r="J28" s="6"/>
      <c r="K28" s="4"/>
      <c r="L28" s="6"/>
      <c r="M28" s="4"/>
      <c r="N28" s="5"/>
      <c r="O28" s="46"/>
      <c r="P28" s="5"/>
      <c r="Q28" s="46"/>
      <c r="R28" s="74" t="s">
        <v>126</v>
      </c>
      <c r="S28" s="259">
        <v>1.71</v>
      </c>
      <c r="T28" s="4"/>
      <c r="U28" s="76"/>
      <c r="V28" s="38"/>
      <c r="X28" s="37" t="s">
        <v>214</v>
      </c>
      <c r="Y28" s="37" t="s">
        <v>215</v>
      </c>
      <c r="Z28" s="105">
        <v>0.79190000000000005</v>
      </c>
    </row>
    <row r="29" spans="1:26" x14ac:dyDescent="0.35">
      <c r="A29" s="71"/>
      <c r="B29" s="5"/>
      <c r="C29" s="5"/>
      <c r="D29" s="5"/>
      <c r="E29" s="62"/>
      <c r="F29" s="5"/>
      <c r="G29" s="5"/>
      <c r="H29" s="7"/>
      <c r="I29" s="4"/>
      <c r="J29" s="6"/>
      <c r="K29" s="4"/>
      <c r="L29" s="6"/>
      <c r="M29" s="4"/>
      <c r="N29" s="5"/>
      <c r="O29" s="46"/>
      <c r="P29" s="5"/>
      <c r="Q29" s="46"/>
      <c r="R29" s="74" t="s">
        <v>127</v>
      </c>
      <c r="S29" s="259">
        <v>0.98</v>
      </c>
      <c r="T29" s="4"/>
      <c r="U29" s="76"/>
      <c r="V29" s="38"/>
      <c r="X29" s="37" t="s">
        <v>216</v>
      </c>
      <c r="Y29" s="37" t="s">
        <v>217</v>
      </c>
      <c r="Z29" s="105">
        <v>0.8528</v>
      </c>
    </row>
    <row r="30" spans="1:26" x14ac:dyDescent="0.35">
      <c r="A30" s="71"/>
      <c r="B30" s="5"/>
      <c r="C30" s="5"/>
      <c r="D30" s="5"/>
      <c r="E30" s="62"/>
      <c r="F30" s="5"/>
      <c r="G30" s="5"/>
      <c r="H30" s="7"/>
      <c r="I30" s="4"/>
      <c r="J30" s="6"/>
      <c r="K30" s="4"/>
      <c r="L30" s="6"/>
      <c r="M30" s="4"/>
      <c r="N30" s="5"/>
      <c r="O30" s="46"/>
      <c r="P30" s="5"/>
      <c r="Q30" s="46"/>
      <c r="R30" s="74" t="s">
        <v>128</v>
      </c>
      <c r="S30" s="259">
        <v>1.64</v>
      </c>
      <c r="T30" s="4"/>
      <c r="U30" s="76"/>
      <c r="V30" s="38"/>
      <c r="X30" s="37" t="s">
        <v>218</v>
      </c>
      <c r="Y30" s="37" t="s">
        <v>219</v>
      </c>
      <c r="Z30" s="105">
        <v>1.4254</v>
      </c>
    </row>
    <row r="31" spans="1:26" x14ac:dyDescent="0.35">
      <c r="A31" s="71"/>
      <c r="B31" s="5"/>
      <c r="C31" s="5"/>
      <c r="D31" s="5"/>
      <c r="E31" s="62"/>
      <c r="F31" s="5"/>
      <c r="G31" s="5"/>
      <c r="H31" s="7"/>
      <c r="I31" s="4"/>
      <c r="J31" s="6"/>
      <c r="K31" s="4"/>
      <c r="L31" s="6"/>
      <c r="M31" s="4"/>
      <c r="N31" s="5"/>
      <c r="O31" s="46"/>
      <c r="P31" s="5"/>
      <c r="Q31" s="46"/>
      <c r="R31" s="74" t="s">
        <v>129</v>
      </c>
      <c r="S31" s="259">
        <v>1.27</v>
      </c>
      <c r="T31" s="4"/>
      <c r="U31" s="76"/>
      <c r="V31" s="38"/>
      <c r="X31" s="37" t="s">
        <v>220</v>
      </c>
      <c r="Y31" s="37" t="s">
        <v>221</v>
      </c>
      <c r="Z31" s="105">
        <v>1.8517999999999999</v>
      </c>
    </row>
    <row r="32" spans="1:26" x14ac:dyDescent="0.35">
      <c r="A32" s="71"/>
      <c r="B32" s="5"/>
      <c r="C32" s="5"/>
      <c r="D32" s="5"/>
      <c r="E32" s="62"/>
      <c r="F32" s="5"/>
      <c r="G32" s="5"/>
      <c r="H32" s="7"/>
      <c r="I32" s="4"/>
      <c r="J32" s="6"/>
      <c r="K32" s="4"/>
      <c r="L32" s="6"/>
      <c r="M32" s="4"/>
      <c r="N32" s="5"/>
      <c r="O32" s="46"/>
      <c r="P32" s="5"/>
      <c r="Q32" s="46"/>
      <c r="R32" s="281" t="s">
        <v>130</v>
      </c>
      <c r="S32" s="282">
        <v>1.78</v>
      </c>
      <c r="T32" s="4"/>
      <c r="U32" s="76"/>
      <c r="V32" s="38"/>
      <c r="X32" s="37" t="s">
        <v>222</v>
      </c>
      <c r="Y32" s="37" t="s">
        <v>223</v>
      </c>
      <c r="Z32" s="105">
        <v>8.4301999999999992</v>
      </c>
    </row>
    <row r="33" spans="1:26" x14ac:dyDescent="0.35">
      <c r="A33" s="71"/>
      <c r="B33" s="5"/>
      <c r="C33" s="5"/>
      <c r="D33" s="5"/>
      <c r="E33" s="62"/>
      <c r="F33" s="5"/>
      <c r="G33" s="5"/>
      <c r="H33" s="7"/>
      <c r="I33" s="4"/>
      <c r="J33" s="6"/>
      <c r="K33" s="4"/>
      <c r="L33" s="6"/>
      <c r="M33" s="4"/>
      <c r="N33" s="5"/>
      <c r="O33" s="46"/>
      <c r="P33" s="5"/>
      <c r="Q33" s="46"/>
      <c r="R33" s="74" t="s">
        <v>131</v>
      </c>
      <c r="S33" s="259">
        <v>1.1599999999999999</v>
      </c>
      <c r="T33" s="4"/>
      <c r="U33" s="76"/>
      <c r="V33" s="38"/>
      <c r="X33" s="37" t="s">
        <v>224</v>
      </c>
      <c r="Y33" s="37" t="s">
        <v>225</v>
      </c>
      <c r="Z33" s="105">
        <v>6.4932999999999996</v>
      </c>
    </row>
    <row r="34" spans="1:26" x14ac:dyDescent="0.35">
      <c r="A34" s="71"/>
      <c r="B34" s="5"/>
      <c r="C34" s="5"/>
      <c r="D34" s="5"/>
      <c r="E34" s="62"/>
      <c r="F34" s="5"/>
      <c r="G34" s="5"/>
      <c r="H34" s="7"/>
      <c r="I34" s="4"/>
      <c r="J34" s="6"/>
      <c r="K34" s="4"/>
      <c r="L34" s="6"/>
      <c r="M34" s="4"/>
      <c r="N34" s="5"/>
      <c r="O34" s="46"/>
      <c r="P34" s="5"/>
      <c r="Q34" s="46"/>
      <c r="R34" s="74" t="s">
        <v>132</v>
      </c>
      <c r="S34" s="259">
        <v>1.59</v>
      </c>
      <c r="T34" s="4"/>
      <c r="U34" s="76"/>
      <c r="V34" s="38"/>
      <c r="X34" s="37" t="s">
        <v>226</v>
      </c>
      <c r="Y34" s="37" t="s">
        <v>227</v>
      </c>
      <c r="Z34" s="105">
        <v>6.9318</v>
      </c>
    </row>
    <row r="35" spans="1:26" x14ac:dyDescent="0.35">
      <c r="A35" s="71"/>
      <c r="B35" s="5"/>
      <c r="C35" s="5"/>
      <c r="D35" s="5"/>
      <c r="E35" s="62"/>
      <c r="F35" s="5"/>
      <c r="G35" s="5"/>
      <c r="H35" s="7"/>
      <c r="I35" s="4"/>
      <c r="J35" s="6"/>
      <c r="K35" s="4"/>
      <c r="L35" s="6"/>
      <c r="M35" s="4"/>
      <c r="N35" s="5"/>
      <c r="O35" s="46"/>
      <c r="P35" s="5"/>
      <c r="Q35" s="46"/>
      <c r="R35" s="74" t="s">
        <v>133</v>
      </c>
      <c r="S35" s="259">
        <v>3</v>
      </c>
      <c r="T35" s="4"/>
      <c r="U35" s="76"/>
      <c r="V35" s="38"/>
      <c r="X35" s="37" t="s">
        <v>228</v>
      </c>
      <c r="Y35" s="37" t="s">
        <v>229</v>
      </c>
      <c r="Z35" s="105">
        <v>8.2231000000000005</v>
      </c>
    </row>
    <row r="36" spans="1:26" ht="15" thickBot="1" x14ac:dyDescent="0.4">
      <c r="A36" s="71"/>
      <c r="B36" s="5"/>
      <c r="C36" s="5"/>
      <c r="D36" s="5"/>
      <c r="E36" s="62"/>
      <c r="F36" s="5"/>
      <c r="G36" s="5"/>
      <c r="H36" s="7"/>
      <c r="I36" s="4"/>
      <c r="J36" s="6"/>
      <c r="K36" s="4"/>
      <c r="L36" s="6"/>
      <c r="M36" s="4"/>
      <c r="N36" s="78"/>
      <c r="O36" s="83"/>
      <c r="P36" s="78"/>
      <c r="Q36" s="83"/>
      <c r="R36" s="84" t="s">
        <v>119</v>
      </c>
      <c r="S36" s="85">
        <v>0</v>
      </c>
      <c r="T36" s="4"/>
      <c r="U36" s="76"/>
      <c r="V36" s="38"/>
      <c r="X36" s="37" t="s">
        <v>230</v>
      </c>
      <c r="Y36" s="37" t="s">
        <v>231</v>
      </c>
      <c r="Z36" s="105">
        <v>7.7967000000000004</v>
      </c>
    </row>
    <row r="37" spans="1:26" ht="15" thickBot="1" x14ac:dyDescent="0.4">
      <c r="A37" s="77"/>
      <c r="B37" s="78"/>
      <c r="C37" s="78"/>
      <c r="D37" s="78"/>
      <c r="E37" s="79"/>
      <c r="F37" s="78"/>
      <c r="G37" s="78"/>
      <c r="H37" s="81"/>
      <c r="I37" s="82"/>
      <c r="J37" s="80"/>
      <c r="K37" s="82"/>
      <c r="L37" s="80"/>
      <c r="M37" s="82"/>
      <c r="N37" s="41"/>
      <c r="O37" s="41"/>
      <c r="P37" s="41"/>
      <c r="Q37" s="41"/>
      <c r="R37" s="41"/>
      <c r="S37" s="41"/>
      <c r="T37" s="78"/>
      <c r="U37" s="86"/>
      <c r="V37" s="38"/>
      <c r="X37" s="37" t="s">
        <v>232</v>
      </c>
      <c r="Y37" s="37" t="s">
        <v>233</v>
      </c>
      <c r="Z37" s="105">
        <v>8.6616999999999997</v>
      </c>
    </row>
    <row r="38" spans="1:26" x14ac:dyDescent="0.35">
      <c r="A38" s="41"/>
      <c r="B38" s="41"/>
      <c r="C38" s="3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35"/>
      <c r="O38" s="35"/>
      <c r="P38" s="35"/>
      <c r="Q38" s="35"/>
      <c r="R38" s="35"/>
      <c r="S38" s="35"/>
      <c r="T38" s="39"/>
      <c r="U38" s="39"/>
      <c r="X38" s="37" t="s">
        <v>234</v>
      </c>
      <c r="Y38" s="37" t="s">
        <v>235</v>
      </c>
      <c r="Z38" s="105">
        <v>9.5267999999999997</v>
      </c>
    </row>
    <row r="39" spans="1:26" x14ac:dyDescent="0.3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26" x14ac:dyDescent="0.3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6" x14ac:dyDescent="0.3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26" x14ac:dyDescent="0.3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26" x14ac:dyDescent="0.35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26" x14ac:dyDescent="0.3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6" x14ac:dyDescent="0.35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26" ht="19.5" customHeight="1" x14ac:dyDescent="0.35"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26" ht="18.5" customHeight="1" x14ac:dyDescent="0.35"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26" x14ac:dyDescent="0.35">
      <c r="A48" s="37" t="s">
        <v>145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x14ac:dyDescent="0.3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 x14ac:dyDescent="0.3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x14ac:dyDescent="0.35"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 x14ac:dyDescent="0.35">
      <c r="E52" s="35"/>
      <c r="F52" s="35"/>
      <c r="G52" s="35"/>
      <c r="H52" s="35"/>
      <c r="I52" s="35"/>
      <c r="J52" s="35"/>
      <c r="K52" s="35"/>
      <c r="L52" s="35"/>
      <c r="M52" s="35"/>
    </row>
    <row r="53" spans="1:19" x14ac:dyDescent="0.35">
      <c r="C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19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19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19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19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pans="1:19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pans="1:19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pans="1:19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pans="1:19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pans="1:19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pans="1:19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</row>
    <row r="257" spans="1:19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</row>
    <row r="258" spans="1:19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pans="1:19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</row>
    <row r="260" spans="1:19" x14ac:dyDescent="0.35">
      <c r="A260" s="35"/>
      <c r="B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I31"/>
  <sheetViews>
    <sheetView workbookViewId="0">
      <selection activeCell="I30" sqref="I30"/>
    </sheetView>
  </sheetViews>
  <sheetFormatPr defaultRowHeight="14.5" x14ac:dyDescent="0.35"/>
  <cols>
    <col min="1" max="1" width="18.26953125" customWidth="1"/>
    <col min="2" max="2" width="13.7265625" bestFit="1" customWidth="1"/>
    <col min="5" max="5" width="10.54296875" customWidth="1"/>
  </cols>
  <sheetData>
    <row r="1" spans="1:5" ht="15" thickBot="1" x14ac:dyDescent="0.4">
      <c r="A1" s="344" t="s">
        <v>4</v>
      </c>
      <c r="B1" s="345"/>
      <c r="C1" s="345"/>
      <c r="D1" s="345"/>
      <c r="E1" s="346"/>
    </row>
    <row r="2" spans="1:5" ht="15" thickBot="1" x14ac:dyDescent="0.4">
      <c r="A2" s="260" t="s">
        <v>296</v>
      </c>
      <c r="B2" s="3"/>
      <c r="C2" s="3"/>
      <c r="D2" s="3"/>
      <c r="E2" s="3"/>
    </row>
    <row r="3" spans="1:5" ht="58.5" thickBot="1" x14ac:dyDescent="0.4">
      <c r="A3" s="2"/>
      <c r="B3" s="264" t="s">
        <v>5</v>
      </c>
      <c r="C3" s="265" t="s">
        <v>6</v>
      </c>
      <c r="D3" s="265" t="s">
        <v>7</v>
      </c>
      <c r="E3" s="266" t="s">
        <v>8</v>
      </c>
    </row>
    <row r="4" spans="1:5" x14ac:dyDescent="0.35">
      <c r="A4" s="347" t="s">
        <v>9</v>
      </c>
      <c r="B4" s="267" t="s">
        <v>294</v>
      </c>
      <c r="C4" s="268">
        <v>1</v>
      </c>
      <c r="D4" s="268">
        <v>59</v>
      </c>
      <c r="E4" s="261">
        <v>128</v>
      </c>
    </row>
    <row r="5" spans="1:5" x14ac:dyDescent="0.35">
      <c r="A5" s="348"/>
      <c r="B5" s="269" t="s">
        <v>295</v>
      </c>
      <c r="C5" s="270">
        <v>60</v>
      </c>
      <c r="D5" s="270">
        <v>99</v>
      </c>
      <c r="E5" s="262">
        <v>123.83</v>
      </c>
    </row>
    <row r="6" spans="1:5" x14ac:dyDescent="0.35">
      <c r="A6" s="348"/>
      <c r="B6" s="269" t="s">
        <v>152</v>
      </c>
      <c r="C6" s="270">
        <v>100</v>
      </c>
      <c r="D6" s="270">
        <v>299</v>
      </c>
      <c r="E6" s="262">
        <v>101.31457481162541</v>
      </c>
    </row>
    <row r="7" spans="1:5" x14ac:dyDescent="0.35">
      <c r="A7" s="348"/>
      <c r="B7" s="269" t="s">
        <v>153</v>
      </c>
      <c r="C7" s="270">
        <v>300</v>
      </c>
      <c r="D7" s="270">
        <v>399</v>
      </c>
      <c r="E7" s="262">
        <v>84.432362755651241</v>
      </c>
    </row>
    <row r="8" spans="1:5" x14ac:dyDescent="0.35">
      <c r="A8" s="348"/>
      <c r="B8" s="269" t="s">
        <v>146</v>
      </c>
      <c r="C8" s="270">
        <v>400</v>
      </c>
      <c r="D8" s="270">
        <v>699</v>
      </c>
      <c r="E8" s="262">
        <v>78.797857911733047</v>
      </c>
    </row>
    <row r="9" spans="1:5" ht="15" thickBot="1" x14ac:dyDescent="0.4">
      <c r="A9" s="349"/>
      <c r="B9" s="269" t="s">
        <v>11</v>
      </c>
      <c r="C9" s="270">
        <v>700</v>
      </c>
      <c r="D9" s="270"/>
      <c r="E9" s="262">
        <v>74.35629171151777</v>
      </c>
    </row>
    <row r="10" spans="1:5" x14ac:dyDescent="0.35">
      <c r="A10" s="347" t="s">
        <v>12</v>
      </c>
      <c r="B10" s="267" t="s">
        <v>13</v>
      </c>
      <c r="C10" s="268">
        <v>0</v>
      </c>
      <c r="D10" s="271">
        <v>9999</v>
      </c>
      <c r="E10" s="261">
        <v>74.35629171151777</v>
      </c>
    </row>
    <row r="11" spans="1:5" x14ac:dyDescent="0.35">
      <c r="A11" s="348"/>
      <c r="B11" s="269" t="s">
        <v>147</v>
      </c>
      <c r="C11" s="272">
        <v>10000</v>
      </c>
      <c r="D11" s="272">
        <v>19999</v>
      </c>
      <c r="E11" s="262">
        <v>67.53949946178686</v>
      </c>
    </row>
    <row r="12" spans="1:5" ht="15" thickBot="1" x14ac:dyDescent="0.4">
      <c r="A12" s="349"/>
      <c r="B12" s="273" t="s">
        <v>14</v>
      </c>
      <c r="C12" s="274">
        <v>20000</v>
      </c>
      <c r="D12" s="274">
        <v>999999</v>
      </c>
      <c r="E12" s="263">
        <v>61.915645855758882</v>
      </c>
    </row>
    <row r="13" spans="1:5" x14ac:dyDescent="0.35">
      <c r="A13" s="341" t="s">
        <v>15</v>
      </c>
      <c r="B13" s="267" t="s">
        <v>10</v>
      </c>
      <c r="C13" s="268">
        <v>1</v>
      </c>
      <c r="D13" s="268">
        <v>99</v>
      </c>
      <c r="E13" s="261">
        <v>150.28</v>
      </c>
    </row>
    <row r="14" spans="1:5" x14ac:dyDescent="0.35">
      <c r="A14" s="342"/>
      <c r="B14" s="269" t="s">
        <v>154</v>
      </c>
      <c r="C14" s="270">
        <v>100</v>
      </c>
      <c r="D14" s="270">
        <v>249</v>
      </c>
      <c r="E14" s="262">
        <v>101.31457481162541</v>
      </c>
    </row>
    <row r="15" spans="1:5" x14ac:dyDescent="0.35">
      <c r="A15" s="342"/>
      <c r="B15" s="269" t="s">
        <v>155</v>
      </c>
      <c r="C15" s="270">
        <v>250</v>
      </c>
      <c r="D15" s="270">
        <v>399</v>
      </c>
      <c r="E15" s="262">
        <v>84.432362755651241</v>
      </c>
    </row>
    <row r="16" spans="1:5" x14ac:dyDescent="0.35">
      <c r="A16" s="342"/>
      <c r="B16" s="269" t="s">
        <v>146</v>
      </c>
      <c r="C16" s="270">
        <v>400</v>
      </c>
      <c r="D16" s="270">
        <v>699</v>
      </c>
      <c r="E16" s="262">
        <v>78.797857911733047</v>
      </c>
    </row>
    <row r="17" spans="1:9" ht="15" thickBot="1" x14ac:dyDescent="0.4">
      <c r="A17" s="343"/>
      <c r="B17" s="273" t="s">
        <v>11</v>
      </c>
      <c r="C17" s="275">
        <v>700</v>
      </c>
      <c r="D17" s="274">
        <v>999999</v>
      </c>
      <c r="E17" s="263">
        <v>74.35629171151777</v>
      </c>
    </row>
    <row r="18" spans="1:9" x14ac:dyDescent="0.35">
      <c r="A18" s="341" t="s">
        <v>297</v>
      </c>
      <c r="B18" s="267" t="s">
        <v>10</v>
      </c>
      <c r="C18" s="268">
        <v>1</v>
      </c>
      <c r="D18" s="268">
        <v>99</v>
      </c>
      <c r="E18" s="261">
        <v>157.80000000000001</v>
      </c>
    </row>
    <row r="19" spans="1:9" x14ac:dyDescent="0.35">
      <c r="A19" s="342"/>
      <c r="B19" s="269" t="s">
        <v>154</v>
      </c>
      <c r="C19" s="270">
        <v>100</v>
      </c>
      <c r="D19" s="270">
        <v>249</v>
      </c>
      <c r="E19" s="262">
        <v>106.38</v>
      </c>
    </row>
    <row r="20" spans="1:9" x14ac:dyDescent="0.35">
      <c r="A20" s="342"/>
      <c r="B20" s="269" t="s">
        <v>155</v>
      </c>
      <c r="C20" s="270">
        <v>250</v>
      </c>
      <c r="D20" s="270">
        <v>399</v>
      </c>
      <c r="E20" s="262">
        <v>88.65</v>
      </c>
    </row>
    <row r="21" spans="1:9" x14ac:dyDescent="0.35">
      <c r="A21" s="342"/>
      <c r="B21" s="269" t="s">
        <v>146</v>
      </c>
      <c r="C21" s="270">
        <v>400</v>
      </c>
      <c r="D21" s="270">
        <v>699</v>
      </c>
      <c r="E21" s="262">
        <v>82.74</v>
      </c>
    </row>
    <row r="22" spans="1:9" ht="15" thickBot="1" x14ac:dyDescent="0.4">
      <c r="A22" s="343"/>
      <c r="B22" s="273" t="s">
        <v>11</v>
      </c>
      <c r="C22" s="275">
        <v>700</v>
      </c>
      <c r="D22" s="274">
        <v>999999</v>
      </c>
      <c r="E22" s="263">
        <v>78.069999999999993</v>
      </c>
    </row>
    <row r="23" spans="1:9" x14ac:dyDescent="0.35">
      <c r="A23" s="347" t="s">
        <v>16</v>
      </c>
      <c r="B23" s="267" t="s">
        <v>10</v>
      </c>
      <c r="C23" s="268">
        <v>0</v>
      </c>
      <c r="D23" s="268">
        <v>99</v>
      </c>
      <c r="E23" s="261">
        <v>146.33735737351989</v>
      </c>
    </row>
    <row r="24" spans="1:9" x14ac:dyDescent="0.35">
      <c r="A24" s="348"/>
      <c r="B24" s="269" t="s">
        <v>148</v>
      </c>
      <c r="C24" s="270">
        <v>100</v>
      </c>
      <c r="D24" s="270">
        <v>374</v>
      </c>
      <c r="E24" s="262">
        <v>106.9384284176534</v>
      </c>
    </row>
    <row r="25" spans="1:9" x14ac:dyDescent="0.35">
      <c r="A25" s="348"/>
      <c r="B25" s="269" t="s">
        <v>149</v>
      </c>
      <c r="C25" s="270">
        <v>375</v>
      </c>
      <c r="D25" s="270">
        <v>699</v>
      </c>
      <c r="E25" s="262">
        <v>78.797857911733047</v>
      </c>
    </row>
    <row r="26" spans="1:9" x14ac:dyDescent="0.35">
      <c r="A26" s="348"/>
      <c r="B26" s="269" t="s">
        <v>150</v>
      </c>
      <c r="C26" s="270">
        <v>700</v>
      </c>
      <c r="D26" s="272">
        <v>3999</v>
      </c>
      <c r="E26" s="262">
        <v>74.35629171151777</v>
      </c>
    </row>
    <row r="27" spans="1:9" ht="15" thickBot="1" x14ac:dyDescent="0.4">
      <c r="A27" s="349"/>
      <c r="B27" s="273" t="s">
        <v>17</v>
      </c>
      <c r="C27" s="274">
        <v>4000</v>
      </c>
      <c r="D27" s="274">
        <v>999999</v>
      </c>
      <c r="E27" s="263">
        <v>61.915645855758882</v>
      </c>
    </row>
    <row r="28" spans="1:9" x14ac:dyDescent="0.35">
      <c r="A28" s="341" t="s">
        <v>18</v>
      </c>
      <c r="B28" s="267" t="s">
        <v>10</v>
      </c>
      <c r="C28" s="268">
        <v>1</v>
      </c>
      <c r="D28" s="268">
        <v>99</v>
      </c>
      <c r="E28" s="261">
        <v>225.14586652314316</v>
      </c>
    </row>
    <row r="29" spans="1:9" x14ac:dyDescent="0.35">
      <c r="A29" s="342"/>
      <c r="B29" s="269" t="s">
        <v>148</v>
      </c>
      <c r="C29" s="270">
        <v>100</v>
      </c>
      <c r="D29" s="270">
        <v>374</v>
      </c>
      <c r="E29" s="262">
        <v>106.9384284176534</v>
      </c>
      <c r="I29" s="307"/>
    </row>
    <row r="30" spans="1:9" x14ac:dyDescent="0.35">
      <c r="A30" s="342"/>
      <c r="B30" s="269" t="s">
        <v>149</v>
      </c>
      <c r="C30" s="270">
        <v>375</v>
      </c>
      <c r="D30" s="270">
        <v>699</v>
      </c>
      <c r="E30" s="262">
        <v>78.797857911733047</v>
      </c>
      <c r="I30" s="307"/>
    </row>
    <row r="31" spans="1:9" ht="15" thickBot="1" x14ac:dyDescent="0.4">
      <c r="A31" s="343"/>
      <c r="B31" s="273" t="s">
        <v>11</v>
      </c>
      <c r="C31" s="275">
        <v>700</v>
      </c>
      <c r="D31" s="274">
        <v>999999</v>
      </c>
      <c r="E31" s="263">
        <v>74.35629171151777</v>
      </c>
    </row>
  </sheetData>
  <mergeCells count="7">
    <mergeCell ref="A28:A31"/>
    <mergeCell ref="A1:E1"/>
    <mergeCell ref="A4:A9"/>
    <mergeCell ref="A10:A12"/>
    <mergeCell ref="A13:A17"/>
    <mergeCell ref="A23:A27"/>
    <mergeCell ref="A18:A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Trial Pricing Calculator</vt:lpstr>
      <vt:lpstr>Calculations</vt:lpstr>
      <vt:lpstr>Rates</vt:lpstr>
      <vt:lpstr>SRP</vt:lpstr>
      <vt:lpstr>Beer</vt:lpstr>
      <vt:lpstr>Canada</vt:lpstr>
      <vt:lpstr>CanadaF</vt:lpstr>
      <vt:lpstr>Certificate_of_Origin</vt:lpstr>
      <vt:lpstr>Currency_MBLL</vt:lpstr>
      <vt:lpstr>Currency_Private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2025-05-13T00:07:27Z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