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bllca-my.sharepoint.com/personal/jocelyn_santiago_mbll_ca/Documents/CALCULATORS/"/>
    </mc:Choice>
  </mc:AlternateContent>
  <xr:revisionPtr revIDLastSave="0" documentId="8_{D4421D24-F264-4157-99B8-ED28A82B8018}" xr6:coauthVersionLast="47" xr6:coauthVersionMax="47" xr10:uidLastSave="{00000000-0000-0000-0000-000000000000}"/>
  <workbookProtection workbookAlgorithmName="SHA-512" workbookHashValue="JoaI7bW2Q7FrO50W0ziKNvpyMfqV4vN8XwJrEN4sEZ3z4evtfIxTulrpqDl7MO8mFAo99UjxMVMd5WEi0/uL1g==" workbookSaltValue="kna/BCcY9g46RNlMsWwbVQ==" workbookSpinCount="100000" lockStructure="1"/>
  <bookViews>
    <workbookView xWindow="-30828" yWindow="-4656" windowWidth="30936" windowHeight="16776" xr2:uid="{A1DCF8AC-0A94-453E-8A6D-BC4661ABCD45}"/>
  </bookViews>
  <sheets>
    <sheet name="Trial Pricing Calculator" sheetId="1" r:id="rId1"/>
    <sheet name="Calculations" sheetId="4" state="hidden" r:id="rId2"/>
    <sheet name="Rates" sheetId="3" state="hidden" r:id="rId3"/>
    <sheet name="SRP" sheetId="2" state="hidden" r:id="rId4"/>
    <sheet name="Chcekclist test" sheetId="6" state="hidden" r:id="rId5"/>
    <sheet name="Data" sheetId="5" state="hidden" r:id="rId6"/>
  </sheets>
  <definedNames>
    <definedName name="American_Zones">Rates!$F$6:$F$24</definedName>
    <definedName name="Beer">Data!$E$4</definedName>
    <definedName name="Blank">Data!$N$4</definedName>
    <definedName name="Canada_Zones">Rates!$D$6:$D$28</definedName>
    <definedName name="Certificate_of_Origin">Data!$G$4:$G$5</definedName>
    <definedName name="Container">Data!$M$4:$M$7</definedName>
    <definedName name="Currency">Rates!$A$6:$A$12</definedName>
    <definedName name="Currency_Private">Rates!$A$15</definedName>
    <definedName name="Duties_MB_Dom">Data!$H$4:$H$5</definedName>
    <definedName name="Duties_MB_Intl">Data!$I$4</definedName>
    <definedName name="Duties_Private">Data!$J$4</definedName>
    <definedName name="International_Zones">Rates!$H$6:$H$33</definedName>
    <definedName name="MBLL_Select">Data!$L$4:$L$5</definedName>
    <definedName name="Private_Category">Data!$F$4:$F$5</definedName>
    <definedName name="Private_Select">Data!$K$4:$K$5</definedName>
    <definedName name="Product_Category">Data!$A$4:$A$7</definedName>
    <definedName name="Ready_to_Drink">Data!$D$4:$D$9</definedName>
    <definedName name="Ready_to_Drink_Private">Data!#REF!</definedName>
    <definedName name="Shipping">Rates!$C$6:$C$8</definedName>
    <definedName name="Spirits">Data!$B$4:$B$14</definedName>
    <definedName name="Wine">Data!$C$4:$C$7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6" i="1" l="1"/>
  <c r="E36" i="1"/>
  <c r="K23" i="1"/>
  <c r="K21" i="1"/>
  <c r="K16" i="1"/>
  <c r="K22" i="1"/>
  <c r="K20" i="1"/>
  <c r="K15" i="1"/>
  <c r="L24" i="1"/>
  <c r="L25" i="1" s="1"/>
  <c r="D31" i="1"/>
  <c r="K25" i="1"/>
  <c r="Y5" i="4" l="1"/>
  <c r="D5" i="4" l="1"/>
  <c r="D17" i="1" l="1"/>
  <c r="E22" i="1"/>
  <c r="D24" i="1" l="1"/>
  <c r="D22" i="1"/>
  <c r="D26" i="1"/>
  <c r="D18" i="1" l="1"/>
  <c r="D19" i="1" s="1"/>
  <c r="AN5" i="4" l="1"/>
  <c r="P5" i="4"/>
  <c r="H5" i="4"/>
  <c r="A5" i="4"/>
  <c r="K32" i="1"/>
  <c r="K24" i="1"/>
  <c r="P22" i="3" l="1"/>
  <c r="P21" i="3"/>
  <c r="P18" i="3"/>
  <c r="P17" i="3"/>
  <c r="P16" i="3"/>
  <c r="P13" i="3"/>
  <c r="P12" i="3"/>
  <c r="P9" i="3"/>
  <c r="P8" i="3"/>
  <c r="C5" i="4" l="1"/>
  <c r="R5" i="4" l="1"/>
  <c r="S5" i="4"/>
  <c r="O5" i="4"/>
  <c r="Z5" i="4" s="1"/>
  <c r="L5" i="4"/>
  <c r="J5" i="4"/>
  <c r="B5" i="4" s="1"/>
  <c r="M5" i="4"/>
  <c r="N5" i="4"/>
  <c r="K5" i="4"/>
  <c r="AE5" i="4" l="1"/>
  <c r="L21" i="1" s="1"/>
  <c r="U5" i="4"/>
  <c r="AC5" i="4"/>
  <c r="T5" i="4"/>
  <c r="L16" i="1" s="1"/>
  <c r="AF5" i="4"/>
  <c r="L22" i="1" s="1"/>
  <c r="L23" i="1"/>
  <c r="K34" i="1"/>
  <c r="K18" i="1"/>
  <c r="K17" i="1"/>
  <c r="K14" i="1"/>
  <c r="L18" i="1" l="1"/>
  <c r="AM5" i="4" a="1"/>
  <c r="AM5" i="4" s="1"/>
  <c r="AG5" i="4"/>
  <c r="V5" i="4"/>
  <c r="Q5" i="4"/>
  <c r="D27" i="1"/>
  <c r="D23" i="1"/>
  <c r="W5" i="4" l="1"/>
  <c r="L17" i="1"/>
  <c r="L32" i="1" l="1"/>
  <c r="E5" i="4" l="1"/>
  <c r="L14" i="1"/>
  <c r="AH5" i="4" l="1"/>
  <c r="AA5" i="4" l="1"/>
  <c r="AO5" i="4" l="1"/>
  <c r="F5" i="4" l="1"/>
  <c r="X5" i="4"/>
  <c r="AI5" i="4" l="1"/>
  <c r="AJ5" i="4" s="1"/>
  <c r="AL5" i="4" s="1"/>
  <c r="AP5" i="4" s="1"/>
  <c r="AB5" i="4"/>
  <c r="AD5" i="4" s="1"/>
  <c r="L20" i="1" s="1"/>
  <c r="I5" i="4"/>
  <c r="L15" i="1"/>
  <c r="L34" i="1"/>
  <c r="AK5" i="4" l="1"/>
  <c r="G5" i="4" s="1"/>
  <c r="E3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<sst xmlns="http://schemas.openxmlformats.org/spreadsheetml/2006/main" count="602" uniqueCount="286">
  <si>
    <t>Product Category</t>
  </si>
  <si>
    <t>Item Sub-type</t>
  </si>
  <si>
    <t>Micro Produced</t>
  </si>
  <si>
    <t>Individual Container Size (Liter)</t>
  </si>
  <si>
    <t># of Individual containers per selling pack</t>
  </si>
  <si>
    <t>Alcohol Percent</t>
  </si>
  <si>
    <t>Duty Type</t>
  </si>
  <si>
    <t>Currency</t>
  </si>
  <si>
    <t>New Trial Pricing Calculator</t>
  </si>
  <si>
    <t>Effective April 1, 2026</t>
  </si>
  <si>
    <t>Social Reference Price per Litre of Absolute Alcohol for all Categories and Pack Sizes</t>
  </si>
  <si>
    <t>Effective September 1, 2025</t>
  </si>
  <si>
    <t>Total Volume</t>
  </si>
  <si>
    <t>Cost per Litre of Absolute Alcohol</t>
  </si>
  <si>
    <t>Spirits</t>
  </si>
  <si>
    <t>Beer</t>
  </si>
  <si>
    <t>&lt;100 mL</t>
  </si>
  <si>
    <t>Wine</t>
  </si>
  <si>
    <t>&gt;=4,000 mL</t>
  </si>
  <si>
    <t>Fortified Wine</t>
  </si>
  <si>
    <t>High   (ML)</t>
  </si>
  <si>
    <t>Low   (ML)</t>
  </si>
  <si>
    <t>Currency_MBLL</t>
  </si>
  <si>
    <t xml:space="preserve">Freight </t>
  </si>
  <si>
    <t>Excise</t>
  </si>
  <si>
    <t>Rate</t>
  </si>
  <si>
    <t>Canada Rates</t>
  </si>
  <si>
    <t>American Rates</t>
  </si>
  <si>
    <t>International Rates</t>
  </si>
  <si>
    <t>Type</t>
  </si>
  <si>
    <t>Category</t>
  </si>
  <si>
    <t>CAD</t>
  </si>
  <si>
    <t>Canada</t>
  </si>
  <si>
    <t>Quebec Zone 1 - Montreal/Pointe Claire</t>
  </si>
  <si>
    <t>Arkansas</t>
  </si>
  <si>
    <t>Argentina</t>
  </si>
  <si>
    <t>USD</t>
  </si>
  <si>
    <t>USA</t>
  </si>
  <si>
    <t>Quebec Zone 2 - Montreal/Wine Totes</t>
  </si>
  <si>
    <t>California - Modesto - Gallo</t>
  </si>
  <si>
    <t>Australia (FCA &amp; FOB)</t>
  </si>
  <si>
    <t>EUR</t>
  </si>
  <si>
    <t>International</t>
  </si>
  <si>
    <t>Quebec Zone 3 - SAQ &amp; Misc.</t>
  </si>
  <si>
    <t>California - American Canyon</t>
  </si>
  <si>
    <t>Australia (Exworks)</t>
  </si>
  <si>
    <t>Ready_to_Drink</t>
  </si>
  <si>
    <t>NZD</t>
  </si>
  <si>
    <t>Quebec Zone 4 - Valleyfield</t>
  </si>
  <si>
    <t>Illinois</t>
  </si>
  <si>
    <t>Austria</t>
  </si>
  <si>
    <t>RAND</t>
  </si>
  <si>
    <t>Ontario Zone 1 - Brampton-Bacardi</t>
  </si>
  <si>
    <t>Indiana</t>
  </si>
  <si>
    <t>Belgium</t>
  </si>
  <si>
    <t>GBP</t>
  </si>
  <si>
    <t>Ontario Zone 2 - Hamilton/Niagara</t>
  </si>
  <si>
    <t>Kentucky</t>
  </si>
  <si>
    <t xml:space="preserve">Chile </t>
  </si>
  <si>
    <t>AUD</t>
  </si>
  <si>
    <t>Ontario Zone 3 - Toronto/Mississauga</t>
  </si>
  <si>
    <t>Maine</t>
  </si>
  <si>
    <t>Ontario Zone 4 - Windsor/Walkerville</t>
  </si>
  <si>
    <t xml:space="preserve">Maryland </t>
  </si>
  <si>
    <t>Denmark</t>
  </si>
  <si>
    <t>Currency_Private</t>
  </si>
  <si>
    <t>Ontario Zone 5 - Winona/Grimsby</t>
  </si>
  <si>
    <t>Michigan</t>
  </si>
  <si>
    <t>France</t>
  </si>
  <si>
    <t>Ontario Zone 6 - Ontario Misc.</t>
  </si>
  <si>
    <t>Minnesota</t>
  </si>
  <si>
    <t>Germany (FCA,FOB)</t>
  </si>
  <si>
    <t>Alberta Zone 1 - St. Albert/Edmonton</t>
  </si>
  <si>
    <t xml:space="preserve">Missouri </t>
  </si>
  <si>
    <t>Germany (Exworks)</t>
  </si>
  <si>
    <t>Alberta Zone 2 - Calgary</t>
  </si>
  <si>
    <t>New Jersey</t>
  </si>
  <si>
    <t>Greece</t>
  </si>
  <si>
    <t>Alberta Zone 3 - Lethbridge</t>
  </si>
  <si>
    <t>New York</t>
  </si>
  <si>
    <t>Hungary</t>
  </si>
  <si>
    <t>B.C. Zone 1 - B.C Misc.</t>
  </si>
  <si>
    <t>Ohio</t>
  </si>
  <si>
    <t>Ireland</t>
  </si>
  <si>
    <t>B.C. Zone 2 - Oliver-Constellation</t>
  </si>
  <si>
    <t>Pennsylvania</t>
  </si>
  <si>
    <t>Italy</t>
  </si>
  <si>
    <t>B.C. Zone 3 - Vancouver/BCLDB, Misc.</t>
  </si>
  <si>
    <t>Tennessee</t>
  </si>
  <si>
    <t>B.C. Zone 4 - Vancouver-Mark Anthony</t>
  </si>
  <si>
    <t>Washington</t>
  </si>
  <si>
    <t>Jamaica (Exworks)</t>
  </si>
  <si>
    <t>B.C. Zone 5 - Hillebrand Westlink</t>
  </si>
  <si>
    <t>Wisconsin</t>
  </si>
  <si>
    <t>Netherlands</t>
  </si>
  <si>
    <t>Atlantic Zone 1 - Atlantic Provinces</t>
  </si>
  <si>
    <t>*No Freight</t>
  </si>
  <si>
    <t>New Zealand</t>
  </si>
  <si>
    <t>Manitoba Zone 1 - WETT Sales Warehouse</t>
  </si>
  <si>
    <t>Poland</t>
  </si>
  <si>
    <t>Portugal (FOB,FCA)</t>
  </si>
  <si>
    <t>Portugal (Exworks)</t>
  </si>
  <si>
    <t>South Africa</t>
  </si>
  <si>
    <t>Spain (FOB, FCA)</t>
  </si>
  <si>
    <t>Spain (Exworks)</t>
  </si>
  <si>
    <t>Sweden (FOB)</t>
  </si>
  <si>
    <t>United Kingdom (FCA, FOB)</t>
  </si>
  <si>
    <t>United Kingdom (Exworks)</t>
  </si>
  <si>
    <t>Spirit &gt;7%</t>
  </si>
  <si>
    <t>Spirit &lt;7%</t>
  </si>
  <si>
    <t>Wine &gt;7%</t>
  </si>
  <si>
    <t>Wine 1.2% - 7%</t>
  </si>
  <si>
    <t>Markup</t>
  </si>
  <si>
    <t>Level</t>
  </si>
  <si>
    <t>Calculation</t>
  </si>
  <si>
    <t>Mead/Other</t>
  </si>
  <si>
    <t>Refreshment Beverage/Ciders</t>
  </si>
  <si>
    <t>Full Markup</t>
  </si>
  <si>
    <t>RTD</t>
  </si>
  <si>
    <t>Manitoba Liquor &amp; Lotteries</t>
  </si>
  <si>
    <t>Product Information</t>
  </si>
  <si>
    <t>Calculations</t>
  </si>
  <si>
    <t>Social Reference Pricing (SRP)</t>
  </si>
  <si>
    <t xml:space="preserve">Product Category </t>
  </si>
  <si>
    <t>Sub-Type</t>
  </si>
  <si>
    <t>Certificate_of_Origin</t>
  </si>
  <si>
    <t>Brandy/Cognac</t>
  </si>
  <si>
    <t>Sake</t>
  </si>
  <si>
    <t>Cider</t>
  </si>
  <si>
    <t>Yes</t>
  </si>
  <si>
    <t>Gin</t>
  </si>
  <si>
    <t>Sparkling Wine</t>
  </si>
  <si>
    <t>No</t>
  </si>
  <si>
    <t>Liqueur</t>
  </si>
  <si>
    <t>All Other Wine</t>
  </si>
  <si>
    <t>Miscellaneous Spirit</t>
  </si>
  <si>
    <t>Rum</t>
  </si>
  <si>
    <t>RTD - NGS/Bulk Spirits</t>
  </si>
  <si>
    <t>Vodka</t>
  </si>
  <si>
    <t>Whisk(e)y</t>
  </si>
  <si>
    <t>Retail Price</t>
  </si>
  <si>
    <t>Baijiu</t>
  </si>
  <si>
    <t>Soju</t>
  </si>
  <si>
    <t>Ready to Mix Cocktail</t>
  </si>
  <si>
    <t>Tequila/Mezcal/Raicilla</t>
  </si>
  <si>
    <t>RTD - Spirit-Based</t>
  </si>
  <si>
    <t>RTD - Wine-Based</t>
  </si>
  <si>
    <t>RTD - Malt-Based</t>
  </si>
  <si>
    <t>RTD - One-Pour Cocktails &gt;7% &lt;=14.5%</t>
  </si>
  <si>
    <t>Select from the Dropdown for Distribution Type</t>
  </si>
  <si>
    <t>Select desired Pricing using the Dropdown</t>
  </si>
  <si>
    <t>Canada_Zones</t>
  </si>
  <si>
    <t>American_ Zones</t>
  </si>
  <si>
    <t>International _ Zones</t>
  </si>
  <si>
    <t>Customs</t>
  </si>
  <si>
    <t>Duty Paid</t>
  </si>
  <si>
    <t>Duties_Private</t>
  </si>
  <si>
    <t>Duties_MB_Intl</t>
  </si>
  <si>
    <t>Duties_MB_Dom</t>
  </si>
  <si>
    <t>Gross Price to Brewer</t>
  </si>
  <si>
    <t>Case Cost</t>
  </si>
  <si>
    <t>Container type</t>
  </si>
  <si>
    <t>Import From</t>
  </si>
  <si>
    <t>Distributed by</t>
  </si>
  <si>
    <t>COS-Admin</t>
  </si>
  <si>
    <t>COS-Warehouse</t>
  </si>
  <si>
    <t>CA</t>
  </si>
  <si>
    <t>MBLL</t>
  </si>
  <si>
    <t>Private</t>
  </si>
  <si>
    <t>US</t>
  </si>
  <si>
    <t>Intl</t>
  </si>
  <si>
    <t>tl1</t>
  </si>
  <si>
    <t>tl2</t>
  </si>
  <si>
    <t>tl3</t>
  </si>
  <si>
    <t>tl4</t>
  </si>
  <si>
    <t>Domestic</t>
  </si>
  <si>
    <t>COS_Whse_Canada</t>
  </si>
  <si>
    <t>COS_Admin</t>
  </si>
  <si>
    <t>COS_Whse_USA</t>
  </si>
  <si>
    <t>COS_Whse_Intl</t>
  </si>
  <si>
    <t>Item Type</t>
  </si>
  <si>
    <t>Proposed Retail Price</t>
  </si>
  <si>
    <t>Calculated Case Cost</t>
  </si>
  <si>
    <t>Calculated Unit Cost</t>
  </si>
  <si>
    <t>New Retail Price</t>
  </si>
  <si>
    <t>Case Size</t>
  </si>
  <si>
    <t>Litre Size</t>
  </si>
  <si>
    <t>Duty</t>
  </si>
  <si>
    <t>Freight</t>
  </si>
  <si>
    <t>Description</t>
  </si>
  <si>
    <t>Alc %</t>
  </si>
  <si>
    <t>Unit Cost x Currency rate</t>
  </si>
  <si>
    <t>Containers /Selling Unit</t>
  </si>
  <si>
    <t>Total Liter size</t>
  </si>
  <si>
    <t>Customs Rates</t>
  </si>
  <si>
    <t>COO</t>
  </si>
  <si>
    <t>All Other Wine 7.1% to 13.7%</t>
  </si>
  <si>
    <t>All Other Wine 13.8% to 14.9%</t>
  </si>
  <si>
    <t>All Other Wine &gt;14.9%</t>
  </si>
  <si>
    <t>All Other Wine &gt;2L</t>
  </si>
  <si>
    <t>Sake &gt;7.1 - 13.7%</t>
  </si>
  <si>
    <t>Sake &gt;13.8 - 14.9%</t>
  </si>
  <si>
    <t>Sake 16 - 16.9%</t>
  </si>
  <si>
    <t>Sake 15 - 15.9%</t>
  </si>
  <si>
    <t>COS Admin</t>
  </si>
  <si>
    <t>COS Whse</t>
  </si>
  <si>
    <t>Beer Empties Handling</t>
  </si>
  <si>
    <t>Sake 17 - 17.9%</t>
  </si>
  <si>
    <t>Can</t>
  </si>
  <si>
    <t>Container</t>
  </si>
  <si>
    <t>Bottle</t>
  </si>
  <si>
    <t>Keg</t>
  </si>
  <si>
    <t>PET</t>
  </si>
  <si>
    <t>Blank</t>
  </si>
  <si>
    <t>Minimum Markup</t>
  </si>
  <si>
    <t>DPLC</t>
  </si>
  <si>
    <t>Extra 2</t>
  </si>
  <si>
    <t>Natural Markup (Reverse)</t>
  </si>
  <si>
    <t>Natural Markup - General</t>
  </si>
  <si>
    <t>Category - Minimum Markup</t>
  </si>
  <si>
    <t>Markup Rates</t>
  </si>
  <si>
    <t>Micro?</t>
  </si>
  <si>
    <t>Retail Minus Charge</t>
  </si>
  <si>
    <t>Micro Level</t>
  </si>
  <si>
    <t>Landed cost Value</t>
  </si>
  <si>
    <t>Currency Rate</t>
  </si>
  <si>
    <t>SRP</t>
  </si>
  <si>
    <t>Ready to Drink</t>
  </si>
  <si>
    <t>One-Pour Cocktail</t>
  </si>
  <si>
    <t>&lt;60 ml</t>
  </si>
  <si>
    <t>60-99 ml</t>
  </si>
  <si>
    <t>100-299 ml</t>
  </si>
  <si>
    <t>300-399 ml</t>
  </si>
  <si>
    <t>400-699 ml</t>
  </si>
  <si>
    <t>&gt;=700 ml</t>
  </si>
  <si>
    <t>&lt;10,000 ml</t>
  </si>
  <si>
    <t>10,000-19,000 ml</t>
  </si>
  <si>
    <t>&gt;=20,000 ml</t>
  </si>
  <si>
    <t>&lt;100 ml</t>
  </si>
  <si>
    <t>100-249 ml</t>
  </si>
  <si>
    <t>250-399 ml</t>
  </si>
  <si>
    <t>100-374 ml</t>
  </si>
  <si>
    <t>375-699 ml</t>
  </si>
  <si>
    <t>700-3,999 ml</t>
  </si>
  <si>
    <t>MBLL Retail Price                                                                           (before taxes and deposit)</t>
  </si>
  <si>
    <t>Mark-up Value $</t>
  </si>
  <si>
    <t>Total Charges</t>
  </si>
  <si>
    <t>Add on per Case (GP)</t>
  </si>
  <si>
    <t>Private_Category</t>
  </si>
  <si>
    <t>Proposed Case Cost/Proposed GPB</t>
  </si>
  <si>
    <t>Case Cost+GP</t>
  </si>
  <si>
    <t>*Please refer to the Pricing Information Manual for additional info.</t>
  </si>
  <si>
    <t>Liquor Agents &amp; Suppliers | Doing Business with Us</t>
  </si>
  <si>
    <t>Click:</t>
  </si>
  <si>
    <t>Private_Select</t>
  </si>
  <si>
    <t>MBLL_Select</t>
  </si>
  <si>
    <t>Rates effective:</t>
  </si>
  <si>
    <t>Cost of Service - Admin Micro</t>
  </si>
  <si>
    <t>Qualified Licensee/Vendor Retail                   (before taxes and deposit)</t>
  </si>
  <si>
    <t>Eaches w/ Exchange (GEN)</t>
  </si>
  <si>
    <t>Eaches w/o Exchange (REV)</t>
  </si>
  <si>
    <t>EXW Zone 1 - Regina, SK</t>
  </si>
  <si>
    <t>EXW Zone 2 - Saskatoon, SK</t>
  </si>
  <si>
    <t>Croatia, exworks via Germany</t>
  </si>
  <si>
    <t>singles</t>
  </si>
  <si>
    <t>package</t>
  </si>
  <si>
    <t>Wines</t>
  </si>
  <si>
    <t>Micro - PRIV</t>
  </si>
  <si>
    <t>Macro - PRIV</t>
  </si>
  <si>
    <t>Micro - MBLL</t>
  </si>
  <si>
    <t>Macro - MBLL</t>
  </si>
  <si>
    <t>RP</t>
  </si>
  <si>
    <t>GPB</t>
  </si>
  <si>
    <t>ü</t>
  </si>
  <si>
    <t>CC</t>
  </si>
  <si>
    <t>Fx Curr</t>
  </si>
  <si>
    <t>All Other Wine =OR&lt;7.0%=&lt;2L</t>
  </si>
  <si>
    <t>GP</t>
  </si>
  <si>
    <t>Package test was USD</t>
  </si>
  <si>
    <t>MBLL Cider</t>
  </si>
  <si>
    <t>Priv Cider</t>
  </si>
  <si>
    <t>From Italy customs</t>
  </si>
  <si>
    <t>Checked EUR</t>
  </si>
  <si>
    <t>AUD and had a COO</t>
  </si>
  <si>
    <t>Fortified Wine &gt;13.7% - 14.9%</t>
  </si>
  <si>
    <t>Fortified Wine &gt;14.9%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</si>
</sst>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164" formatCode="_-&quot;$&quot;* #,##0.00_-;\-&quot;$&quot;* #,##0.00_-;_-&quot;$&quot;* &quot;-&quot;??_-;_-@_-"/>
    <numFmt numFmtId="165" formatCode="0.0000"/>
    <numFmt numFmtId="166" formatCode="0.000"/>
    <numFmt numFmtId="167" formatCode="0.000000"/>
    <numFmt numFmtId="168" formatCode="&quot;$&quot;#,##0.00"/>
    <numFmt numFmtId="169" formatCode="0.00000"/>
    <numFmt numFmtId="170" formatCode="[$-1009]mmmm\ d\,\ yyyy;@"/>
    <numFmt numFmtId="171" formatCode="&quot;$&quot;#,##0.0000"/>
    <numFmt numFmtId="172" formatCode="0.0"/>
  </numFmts>
  <fonts count="4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000000"/>
      <name val="Calibri"/>
      <family val="2"/>
    </font>
    <font>
      <sz val="10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sz val="11"/>
      <color theme="1"/>
      <name val="Calibri"/>
      <family val="2"/>
    </font>
    <font>
      <b/>
      <sz val="11"/>
      <color rgb="FFFF0000"/>
      <name val="Calibri"/>
      <family val="2"/>
    </font>
    <font>
      <sz val="11"/>
      <color rgb="FFFFFFFF"/>
      <name val="Calibri"/>
      <family val="2"/>
    </font>
    <font>
      <sz val="12"/>
      <color rgb="FFFFFFFF"/>
      <name val="Calibri"/>
      <family val="2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0"/>
      <name val="Calibri"/>
      <family val="2"/>
    </font>
    <font>
      <i/>
      <sz val="10"/>
      <color rgb="FF000000"/>
      <name val="Calibri"/>
      <family val="2"/>
    </font>
    <font>
      <b/>
      <sz val="20"/>
      <color rgb="FFC00000"/>
      <name val="Calibri"/>
      <family val="2"/>
    </font>
    <font>
      <b/>
      <sz val="14"/>
      <color theme="8" tint="-0.249977111117893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5"/>
      <color theme="0"/>
      <name val="Calibri"/>
      <family val="2"/>
    </font>
    <font>
      <b/>
      <sz val="14"/>
      <color rgb="FF002060"/>
      <name val="Aptos Narrow"/>
      <family val="2"/>
      <scheme val="minor"/>
    </font>
    <font>
      <sz val="11"/>
      <color rgb="FF002060"/>
      <name val="Aptos Narrow"/>
      <family val="2"/>
      <scheme val="minor"/>
    </font>
    <font>
      <sz val="11"/>
      <color rgb="FF7030A0"/>
      <name val="Calibri"/>
      <family val="2"/>
    </font>
    <font>
      <b/>
      <sz val="10"/>
      <color rgb="FF963634"/>
      <name val="Calibri"/>
      <family val="2"/>
    </font>
    <font>
      <sz val="11"/>
      <color rgb="FF002060"/>
      <name val="Calibri"/>
      <family val="2"/>
    </font>
    <font>
      <b/>
      <sz val="25"/>
      <color theme="0"/>
      <name val="Aptos Narrow"/>
      <family val="2"/>
      <scheme val="minor"/>
    </font>
    <font>
      <b/>
      <sz val="23"/>
      <color theme="0"/>
      <name val="Calibri"/>
      <family val="2"/>
    </font>
    <font>
      <b/>
      <sz val="20"/>
      <color theme="0"/>
      <name val="Calibri"/>
      <family val="2"/>
    </font>
    <font>
      <b/>
      <sz val="15"/>
      <color theme="0"/>
      <name val="Aptos Narrow"/>
      <family val="2"/>
      <scheme val="minor"/>
    </font>
    <font>
      <b/>
      <sz val="15"/>
      <color rgb="FF002060"/>
      <name val="Aptos Narrow"/>
      <family val="2"/>
      <scheme val="minor"/>
    </font>
    <font>
      <b/>
      <sz val="11"/>
      <color rgb="FF002060"/>
      <name val="Aptos Narrow"/>
      <family val="2"/>
      <scheme val="minor"/>
    </font>
    <font>
      <b/>
      <sz val="11"/>
      <color theme="8" tint="-0.499984740745262"/>
      <name val="Aptos Narrow"/>
      <family val="2"/>
      <scheme val="minor"/>
    </font>
    <font>
      <b/>
      <u/>
      <sz val="11"/>
      <color rgb="FFFF0000"/>
      <name val="Aptos Narrow"/>
      <family val="2"/>
      <scheme val="minor"/>
    </font>
    <font>
      <sz val="11"/>
      <color theme="0"/>
      <name val="Calibri"/>
      <family val="2"/>
    </font>
    <font>
      <b/>
      <sz val="11"/>
      <color theme="0"/>
      <name val="Aptos Narrow"/>
      <family val="2"/>
      <scheme val="minor"/>
    </font>
    <font>
      <b/>
      <sz val="12"/>
      <color theme="5" tint="-0.249977111117893"/>
      <name val="Aptos Narrow"/>
      <family val="2"/>
      <scheme val="minor"/>
    </font>
    <font>
      <b/>
      <sz val="13"/>
      <color theme="0"/>
      <name val="Aptos Narrow"/>
      <family val="2"/>
      <scheme val="minor"/>
    </font>
    <font>
      <b/>
      <sz val="13"/>
      <color theme="5" tint="-0.499984740745262"/>
      <name val="Aptos Narrow"/>
      <family val="2"/>
      <scheme val="minor"/>
    </font>
    <font>
      <b/>
      <sz val="10"/>
      <color rgb="FF002060"/>
      <name val="Aptos Narrow"/>
      <family val="2"/>
      <scheme val="minor"/>
    </font>
    <font>
      <b/>
      <sz val="10"/>
      <color theme="6" tint="-0.249977111117893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u/>
      <sz val="11"/>
      <color theme="5" tint="-0.249977111117893"/>
      <name val="Aptos Narrow"/>
      <family val="2"/>
      <scheme val="minor"/>
    </font>
    <font>
      <b/>
      <i/>
      <sz val="10"/>
      <color theme="5" tint="-0.249977111117893"/>
      <name val="Aptos Narrow"/>
      <family val="2"/>
      <scheme val="minor"/>
    </font>
    <font>
      <b/>
      <sz val="12"/>
      <color rgb="FFFF0000"/>
      <name val="Calibri"/>
      <family val="2"/>
    </font>
    <font>
      <b/>
      <sz val="11"/>
      <color rgb="FFFFFF00"/>
      <name val="Aptos Narrow"/>
      <family val="2"/>
      <scheme val="minor"/>
    </font>
    <font>
      <sz val="10"/>
      <color rgb="FF7030A0"/>
      <name val="Calibri"/>
      <family val="2"/>
    </font>
    <font>
      <sz val="11"/>
      <color theme="1"/>
      <name val="Wingdings"/>
      <charset val="2"/>
    </font>
  </fonts>
  <fills count="46">
    <fill>
      <patternFill patternType="none"/>
    </fill>
    <fill>
      <patternFill patternType="gray125"/>
    </fill>
    <fill>
      <patternFill patternType="solid">
        <fgColor rgb="FFFFCC00"/>
        <bgColor rgb="FF000000"/>
      </patternFill>
    </fill>
    <fill>
      <patternFill patternType="solid">
        <fgColor rgb="FFDAEEF3"/>
        <bgColor rgb="FF000000"/>
      </patternFill>
    </fill>
    <fill>
      <patternFill patternType="solid">
        <fgColor rgb="FFE4DFEC"/>
        <bgColor rgb="FF000000"/>
      </patternFill>
    </fill>
    <fill>
      <patternFill patternType="solid">
        <fgColor rgb="FFF2DCDB"/>
        <bgColor rgb="FF000000"/>
      </patternFill>
    </fill>
    <fill>
      <patternFill patternType="solid">
        <fgColor rgb="FF60497A"/>
        <bgColor rgb="FF000000"/>
      </patternFill>
    </fill>
    <fill>
      <patternFill patternType="solid">
        <fgColor rgb="FFB1A0C7"/>
        <bgColor rgb="FF000000"/>
      </patternFill>
    </fill>
    <fill>
      <patternFill patternType="solid">
        <fgColor rgb="FFF0F8FA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999FF"/>
        <bgColor rgb="FF000000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1B759D"/>
        <bgColor indexed="64"/>
      </patternFill>
    </fill>
    <fill>
      <patternFill patternType="solid">
        <fgColor theme="3" tint="9.9978637043366805E-2"/>
        <bgColor indexed="64"/>
      </patternFill>
    </fill>
    <fill>
      <patternFill patternType="solid">
        <fgColor rgb="FF7FC8E9"/>
        <bgColor indexed="64"/>
      </patternFill>
    </fill>
    <fill>
      <patternFill patternType="solid">
        <fgColor rgb="FFFFFFF3"/>
        <bgColor indexed="64"/>
      </patternFill>
    </fill>
    <fill>
      <patternFill patternType="solid">
        <fgColor rgb="FF176A8B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9F7FD"/>
        <bgColor indexed="64"/>
      </patternFill>
    </fill>
    <fill>
      <patternFill patternType="solid">
        <fgColor rgb="FFD9F7DD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DDC9ED"/>
        <bgColor indexed="64"/>
      </patternFill>
    </fill>
    <fill>
      <patternFill patternType="solid">
        <fgColor rgb="FFDDC9ED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rgb="FF000000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155B2C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6" tint="-0.249977111117893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indexed="64"/>
      </left>
      <right/>
      <top style="medium">
        <color rgb="FFFFFFFF"/>
      </top>
      <bottom/>
      <diagonal/>
    </border>
    <border>
      <left/>
      <right style="thin">
        <color indexed="64"/>
      </right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rgb="FFFFFFFF"/>
      </right>
      <top/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 style="thin">
        <color indexed="64"/>
      </right>
      <top/>
      <bottom style="medium">
        <color rgb="FFFFFFFF"/>
      </bottom>
      <diagonal/>
    </border>
    <border>
      <left style="thin">
        <color indexed="64"/>
      </left>
      <right/>
      <top/>
      <bottom style="medium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 style="thin">
        <color indexed="64"/>
      </left>
      <right style="thin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indexed="64"/>
      </right>
      <top/>
      <bottom style="thin">
        <color rgb="FFFFFFF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FFFFFF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rgb="FFFFFFFF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FFFFFF"/>
      </right>
      <top style="thin">
        <color indexed="64"/>
      </top>
      <bottom/>
      <diagonal/>
    </border>
    <border>
      <left style="thin">
        <color indexed="64"/>
      </left>
      <right style="medium">
        <color rgb="FFFFFFFF"/>
      </right>
      <top/>
      <bottom style="thin">
        <color indexed="64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medium">
        <color rgb="FFFFFFFF"/>
      </right>
      <top/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FFFFFF"/>
      </top>
      <bottom style="thin">
        <color indexed="64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indexed="64"/>
      </left>
      <right/>
      <top style="thin">
        <color rgb="FFFFFFFF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FFFFFF"/>
      </top>
      <bottom style="thin">
        <color rgb="FFFFFFFF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40" fillId="0" borderId="0" applyNumberFormat="0" applyFill="0" applyBorder="0" applyAlignment="0" applyProtection="0"/>
  </cellStyleXfs>
  <cellXfs count="321">
    <xf numFmtId="0" fontId="0" fillId="0" borderId="0" xfId="0"/>
    <xf numFmtId="0" fontId="5" fillId="4" borderId="4" xfId="3" applyFont="1" applyFill="1" applyBorder="1"/>
    <xf numFmtId="44" fontId="5" fillId="5" borderId="5" xfId="0" applyNumberFormat="1" applyFont="1" applyFill="1" applyBorder="1"/>
    <xf numFmtId="0" fontId="5" fillId="4" borderId="7" xfId="3" applyFont="1" applyFill="1" applyBorder="1"/>
    <xf numFmtId="44" fontId="5" fillId="5" borderId="8" xfId="0" applyNumberFormat="1" applyFont="1" applyFill="1" applyBorder="1"/>
    <xf numFmtId="0" fontId="5" fillId="4" borderId="10" xfId="3" applyFont="1" applyFill="1" applyBorder="1"/>
    <xf numFmtId="44" fontId="5" fillId="5" borderId="11" xfId="0" applyNumberFormat="1" applyFont="1" applyFill="1" applyBorder="1"/>
    <xf numFmtId="0" fontId="7" fillId="0" borderId="0" xfId="0" applyFont="1"/>
    <xf numFmtId="0" fontId="6" fillId="2" borderId="10" xfId="3" applyFont="1" applyFill="1" applyBorder="1" applyAlignment="1">
      <alignment horizontal="left" wrapText="1"/>
    </xf>
    <xf numFmtId="0" fontId="6" fillId="2" borderId="9" xfId="3" applyFont="1" applyFill="1" applyBorder="1" applyAlignment="1">
      <alignment horizontal="center" wrapText="1"/>
    </xf>
    <xf numFmtId="0" fontId="6" fillId="2" borderId="11" xfId="3" applyFont="1" applyFill="1" applyBorder="1" applyAlignment="1">
      <alignment horizontal="center" wrapText="1"/>
    </xf>
    <xf numFmtId="0" fontId="7" fillId="0" borderId="16" xfId="0" applyFont="1" applyBorder="1"/>
    <xf numFmtId="0" fontId="7" fillId="0" borderId="17" xfId="0" applyFont="1" applyBorder="1"/>
    <xf numFmtId="0" fontId="9" fillId="6" borderId="18" xfId="0" applyFont="1" applyFill="1" applyBorder="1"/>
    <xf numFmtId="0" fontId="9" fillId="6" borderId="19" xfId="0" applyFont="1" applyFill="1" applyBorder="1"/>
    <xf numFmtId="0" fontId="10" fillId="6" borderId="18" xfId="0" applyFont="1" applyFill="1" applyBorder="1"/>
    <xf numFmtId="0" fontId="10" fillId="6" borderId="20" xfId="0" applyFont="1" applyFill="1" applyBorder="1"/>
    <xf numFmtId="0" fontId="10" fillId="6" borderId="19" xfId="0" applyFont="1" applyFill="1" applyBorder="1"/>
    <xf numFmtId="0" fontId="9" fillId="6" borderId="21" xfId="0" applyFont="1" applyFill="1" applyBorder="1" applyAlignment="1">
      <alignment horizontal="center"/>
    </xf>
    <xf numFmtId="0" fontId="9" fillId="6" borderId="22" xfId="0" applyFont="1" applyFill="1" applyBorder="1" applyAlignment="1">
      <alignment horizontal="center"/>
    </xf>
    <xf numFmtId="0" fontId="10" fillId="6" borderId="21" xfId="0" applyFont="1" applyFill="1" applyBorder="1" applyAlignment="1">
      <alignment horizontal="center"/>
    </xf>
    <xf numFmtId="0" fontId="10" fillId="6" borderId="0" xfId="0" applyFont="1" applyFill="1" applyAlignment="1">
      <alignment horizontal="center"/>
    </xf>
    <xf numFmtId="0" fontId="10" fillId="6" borderId="22" xfId="0" applyFont="1" applyFill="1" applyBorder="1" applyAlignment="1">
      <alignment horizontal="center"/>
    </xf>
    <xf numFmtId="0" fontId="11" fillId="7" borderId="21" xfId="0" applyFont="1" applyFill="1" applyBorder="1" applyAlignment="1">
      <alignment horizontal="center" wrapText="1"/>
    </xf>
    <xf numFmtId="0" fontId="11" fillId="7" borderId="22" xfId="0" applyFont="1" applyFill="1" applyBorder="1" applyAlignment="1">
      <alignment horizontal="center" wrapText="1"/>
    </xf>
    <xf numFmtId="0" fontId="11" fillId="7" borderId="0" xfId="0" applyFont="1" applyFill="1" applyAlignment="1">
      <alignment horizontal="center" wrapText="1"/>
    </xf>
    <xf numFmtId="0" fontId="11" fillId="7" borderId="23" xfId="0" applyFont="1" applyFill="1" applyBorder="1" applyAlignment="1">
      <alignment horizontal="center" wrapText="1"/>
    </xf>
    <xf numFmtId="0" fontId="12" fillId="0" borderId="21" xfId="0" applyFont="1" applyBorder="1"/>
    <xf numFmtId="2" fontId="12" fillId="0" borderId="22" xfId="0" applyNumberFormat="1" applyFont="1" applyBorder="1"/>
    <xf numFmtId="0" fontId="12" fillId="0" borderId="0" xfId="0" applyFont="1"/>
    <xf numFmtId="0" fontId="12" fillId="8" borderId="21" xfId="0" applyFont="1" applyFill="1" applyBorder="1"/>
    <xf numFmtId="2" fontId="14" fillId="0" borderId="22" xfId="0" applyNumberFormat="1" applyFont="1" applyBorder="1"/>
    <xf numFmtId="0" fontId="12" fillId="0" borderId="23" xfId="0" applyFont="1" applyBorder="1"/>
    <xf numFmtId="0" fontId="7" fillId="0" borderId="24" xfId="0" applyFont="1" applyBorder="1"/>
    <xf numFmtId="0" fontId="12" fillId="0" borderId="22" xfId="0" applyFont="1" applyBorder="1"/>
    <xf numFmtId="0" fontId="12" fillId="0" borderId="25" xfId="0" applyFont="1" applyBorder="1"/>
    <xf numFmtId="2" fontId="12" fillId="0" borderId="26" xfId="0" applyNumberFormat="1" applyFont="1" applyBorder="1"/>
    <xf numFmtId="0" fontId="12" fillId="0" borderId="27" xfId="0" applyFont="1" applyBorder="1"/>
    <xf numFmtId="0" fontId="12" fillId="0" borderId="26" xfId="0" applyFont="1" applyBorder="1"/>
    <xf numFmtId="0" fontId="12" fillId="0" borderId="28" xfId="0" applyFont="1" applyBorder="1"/>
    <xf numFmtId="0" fontId="12" fillId="0" borderId="29" xfId="0" applyFont="1" applyBorder="1"/>
    <xf numFmtId="0" fontId="12" fillId="0" borderId="17" xfId="0" applyFont="1" applyBorder="1"/>
    <xf numFmtId="0" fontId="7" fillId="0" borderId="28" xfId="0" applyFont="1" applyBorder="1"/>
    <xf numFmtId="0" fontId="8" fillId="0" borderId="16" xfId="0" applyFont="1" applyBorder="1"/>
    <xf numFmtId="0" fontId="11" fillId="7" borderId="0" xfId="0" applyFont="1" applyFill="1" applyBorder="1" applyAlignment="1">
      <alignment horizontal="center" wrapText="1"/>
    </xf>
    <xf numFmtId="0" fontId="12" fillId="0" borderId="30" xfId="0" applyFont="1" applyBorder="1"/>
    <xf numFmtId="0" fontId="12" fillId="0" borderId="31" xfId="0" applyFont="1" applyBorder="1"/>
    <xf numFmtId="0" fontId="12" fillId="0" borderId="32" xfId="0" applyFont="1" applyBorder="1"/>
    <xf numFmtId="2" fontId="14" fillId="0" borderId="22" xfId="0" applyNumberFormat="1" applyFont="1" applyBorder="1" applyAlignment="1">
      <alignment horizontal="center"/>
    </xf>
    <xf numFmtId="2" fontId="14" fillId="0" borderId="26" xfId="0" applyNumberFormat="1" applyFont="1" applyBorder="1" applyAlignment="1">
      <alignment horizontal="center"/>
    </xf>
    <xf numFmtId="0" fontId="12" fillId="9" borderId="21" xfId="0" applyFont="1" applyFill="1" applyBorder="1"/>
    <xf numFmtId="0" fontId="12" fillId="10" borderId="21" xfId="0" applyFont="1" applyFill="1" applyBorder="1"/>
    <xf numFmtId="0" fontId="7" fillId="0" borderId="17" xfId="0" applyFont="1" applyBorder="1" applyAlignment="1">
      <alignment horizontal="center"/>
    </xf>
    <xf numFmtId="0" fontId="12" fillId="3" borderId="33" xfId="0" applyFont="1" applyFill="1" applyBorder="1"/>
    <xf numFmtId="0" fontId="12" fillId="3" borderId="35" xfId="0" applyFont="1" applyFill="1" applyBorder="1"/>
    <xf numFmtId="0" fontId="15" fillId="0" borderId="21" xfId="0" applyFont="1" applyBorder="1" applyAlignment="1">
      <alignment horizontal="right"/>
    </xf>
    <xf numFmtId="0" fontId="15" fillId="0" borderId="22" xfId="0" applyFont="1" applyBorder="1" applyAlignment="1">
      <alignment horizontal="right"/>
    </xf>
    <xf numFmtId="0" fontId="12" fillId="0" borderId="21" xfId="0" applyFont="1" applyBorder="1" applyAlignment="1">
      <alignment horizontal="right"/>
    </xf>
    <xf numFmtId="167" fontId="12" fillId="0" borderId="22" xfId="2" applyNumberFormat="1" applyFont="1" applyFill="1" applyBorder="1" applyAlignment="1">
      <alignment horizontal="right"/>
    </xf>
    <xf numFmtId="0" fontId="12" fillId="0" borderId="36" xfId="0" applyFont="1" applyBorder="1"/>
    <xf numFmtId="167" fontId="12" fillId="0" borderId="38" xfId="2" applyNumberFormat="1" applyFont="1" applyFill="1" applyBorder="1" applyAlignment="1">
      <alignment horizontal="right"/>
    </xf>
    <xf numFmtId="0" fontId="12" fillId="3" borderId="33" xfId="0" applyFont="1" applyFill="1" applyBorder="1" applyAlignment="1">
      <alignment horizontal="left"/>
    </xf>
    <xf numFmtId="0" fontId="12" fillId="3" borderId="35" xfId="0" applyFont="1" applyFill="1" applyBorder="1" applyAlignment="1">
      <alignment horizontal="left"/>
    </xf>
    <xf numFmtId="0" fontId="15" fillId="0" borderId="22" xfId="0" applyFont="1" applyBorder="1" applyAlignment="1">
      <alignment horizontal="right" wrapText="1"/>
    </xf>
    <xf numFmtId="0" fontId="7" fillId="4" borderId="39" xfId="0" applyFont="1" applyFill="1" applyBorder="1"/>
    <xf numFmtId="0" fontId="7" fillId="4" borderId="40" xfId="0" applyFont="1" applyFill="1" applyBorder="1"/>
    <xf numFmtId="2" fontId="7" fillId="4" borderId="38" xfId="0" applyNumberFormat="1" applyFont="1" applyFill="1" applyBorder="1" applyAlignment="1">
      <alignment horizontal="center"/>
    </xf>
    <xf numFmtId="0" fontId="9" fillId="6" borderId="33" xfId="0" applyFont="1" applyFill="1" applyBorder="1"/>
    <xf numFmtId="0" fontId="9" fillId="6" borderId="34" xfId="0" applyFont="1" applyFill="1" applyBorder="1"/>
    <xf numFmtId="0" fontId="9" fillId="6" borderId="35" xfId="0" applyFont="1" applyFill="1" applyBorder="1"/>
    <xf numFmtId="0" fontId="9" fillId="6" borderId="36" xfId="0" applyFont="1" applyFill="1" applyBorder="1" applyAlignment="1">
      <alignment horizontal="center"/>
    </xf>
    <xf numFmtId="0" fontId="9" fillId="6" borderId="37" xfId="0" applyFont="1" applyFill="1" applyBorder="1" applyAlignment="1">
      <alignment horizontal="center"/>
    </xf>
    <xf numFmtId="0" fontId="9" fillId="6" borderId="38" xfId="0" applyFont="1" applyFill="1" applyBorder="1" applyAlignment="1">
      <alignment horizontal="center"/>
    </xf>
    <xf numFmtId="0" fontId="22" fillId="7" borderId="0" xfId="0" applyFont="1" applyFill="1" applyAlignment="1">
      <alignment horizontal="center"/>
    </xf>
    <xf numFmtId="0" fontId="11" fillId="6" borderId="21" xfId="0" applyFont="1" applyFill="1" applyBorder="1"/>
    <xf numFmtId="0" fontId="11" fillId="6" borderId="0" xfId="0" applyFont="1" applyFill="1"/>
    <xf numFmtId="0" fontId="11" fillId="6" borderId="22" xfId="0" applyFont="1" applyFill="1" applyBorder="1"/>
    <xf numFmtId="0" fontId="23" fillId="17" borderId="41" xfId="0" applyFont="1" applyFill="1" applyBorder="1"/>
    <xf numFmtId="0" fontId="23" fillId="17" borderId="0" xfId="0" applyFont="1" applyFill="1"/>
    <xf numFmtId="0" fontId="23" fillId="17" borderId="45" xfId="0" applyFont="1" applyFill="1" applyBorder="1"/>
    <xf numFmtId="0" fontId="12" fillId="0" borderId="45" xfId="0" applyFont="1" applyBorder="1"/>
    <xf numFmtId="0" fontId="12" fillId="0" borderId="41" xfId="0" applyFont="1" applyBorder="1"/>
    <xf numFmtId="0" fontId="3" fillId="0" borderId="17" xfId="0" applyFont="1" applyBorder="1"/>
    <xf numFmtId="0" fontId="13" fillId="0" borderId="0" xfId="0" applyFont="1"/>
    <xf numFmtId="0" fontId="13" fillId="0" borderId="45" xfId="0" applyFont="1" applyBorder="1"/>
    <xf numFmtId="0" fontId="22" fillId="7" borderId="34" xfId="0" applyFont="1" applyFill="1" applyBorder="1" applyAlignment="1"/>
    <xf numFmtId="0" fontId="22" fillId="7" borderId="35" xfId="0" applyFont="1" applyFill="1" applyBorder="1" applyAlignment="1"/>
    <xf numFmtId="0" fontId="24" fillId="7" borderId="33" xfId="0" applyFont="1" applyFill="1" applyBorder="1" applyAlignment="1"/>
    <xf numFmtId="0" fontId="0" fillId="0" borderId="7" xfId="0" applyBorder="1"/>
    <xf numFmtId="0" fontId="0" fillId="0" borderId="10" xfId="0" applyBorder="1"/>
    <xf numFmtId="0" fontId="0" fillId="0" borderId="42" xfId="0" applyBorder="1"/>
    <xf numFmtId="0" fontId="0" fillId="0" borderId="11" xfId="0" applyBorder="1"/>
    <xf numFmtId="0" fontId="19" fillId="0" borderId="8" xfId="0" applyFont="1" applyFill="1" applyBorder="1" applyAlignment="1"/>
    <xf numFmtId="0" fontId="0" fillId="22" borderId="7" xfId="0" applyFill="1" applyBorder="1"/>
    <xf numFmtId="0" fontId="0" fillId="22" borderId="8" xfId="0" applyFill="1" applyBorder="1"/>
    <xf numFmtId="0" fontId="0" fillId="22" borderId="10" xfId="0" applyFill="1" applyBorder="1"/>
    <xf numFmtId="0" fontId="0" fillId="22" borderId="42" xfId="0" applyFill="1" applyBorder="1"/>
    <xf numFmtId="0" fontId="0" fillId="22" borderId="11" xfId="0" applyFill="1" applyBorder="1"/>
    <xf numFmtId="0" fontId="0" fillId="25" borderId="0" xfId="0" applyFill="1"/>
    <xf numFmtId="0" fontId="0" fillId="26" borderId="7" xfId="0" applyFill="1" applyBorder="1"/>
    <xf numFmtId="0" fontId="0" fillId="26" borderId="0" xfId="0" applyFill="1" applyBorder="1"/>
    <xf numFmtId="0" fontId="0" fillId="26" borderId="8" xfId="0" applyFill="1" applyBorder="1"/>
    <xf numFmtId="0" fontId="0" fillId="26" borderId="10" xfId="0" applyFill="1" applyBorder="1"/>
    <xf numFmtId="0" fontId="0" fillId="26" borderId="11" xfId="0" applyFill="1" applyBorder="1"/>
    <xf numFmtId="0" fontId="0" fillId="26" borderId="42" xfId="0" applyFill="1" applyBorder="1"/>
    <xf numFmtId="0" fontId="0" fillId="27" borderId="7" xfId="0" applyFill="1" applyBorder="1"/>
    <xf numFmtId="0" fontId="0" fillId="27" borderId="0" xfId="0" applyFill="1" applyBorder="1"/>
    <xf numFmtId="0" fontId="0" fillId="27" borderId="8" xfId="0" applyFill="1" applyBorder="1"/>
    <xf numFmtId="0" fontId="0" fillId="27" borderId="47" xfId="0" applyFill="1" applyBorder="1"/>
    <xf numFmtId="0" fontId="0" fillId="27" borderId="0" xfId="0" applyFill="1" applyBorder="1" applyAlignment="1">
      <alignment horizontal="center" vertical="center"/>
    </xf>
    <xf numFmtId="0" fontId="0" fillId="27" borderId="46" xfId="0" applyFill="1" applyBorder="1"/>
    <xf numFmtId="0" fontId="0" fillId="27" borderId="37" xfId="0" applyFill="1" applyBorder="1"/>
    <xf numFmtId="0" fontId="32" fillId="0" borderId="0" xfId="0" applyFont="1"/>
    <xf numFmtId="0" fontId="9" fillId="6" borderId="36" xfId="0" applyFont="1" applyFill="1" applyBorder="1" applyAlignment="1"/>
    <xf numFmtId="165" fontId="7" fillId="4" borderId="22" xfId="0" applyNumberFormat="1" applyFont="1" applyFill="1" applyBorder="1" applyAlignment="1">
      <alignment horizontal="center"/>
    </xf>
    <xf numFmtId="165" fontId="7" fillId="4" borderId="38" xfId="0" applyNumberFormat="1" applyFont="1" applyFill="1" applyBorder="1" applyAlignment="1">
      <alignment horizontal="center"/>
    </xf>
    <xf numFmtId="0" fontId="11" fillId="7" borderId="48" xfId="0" applyFont="1" applyFill="1" applyBorder="1" applyAlignment="1">
      <alignment horizontal="center" wrapText="1"/>
    </xf>
    <xf numFmtId="0" fontId="11" fillId="7" borderId="35" xfId="0" applyFont="1" applyFill="1" applyBorder="1" applyAlignment="1">
      <alignment horizontal="center" wrapText="1"/>
    </xf>
    <xf numFmtId="0" fontId="11" fillId="7" borderId="49" xfId="0" applyFont="1" applyFill="1" applyBorder="1" applyAlignment="1">
      <alignment horizontal="center" wrapText="1"/>
    </xf>
    <xf numFmtId="0" fontId="11" fillId="7" borderId="38" xfId="0" applyFont="1" applyFill="1" applyBorder="1" applyAlignment="1">
      <alignment horizontal="center" wrapText="1"/>
    </xf>
    <xf numFmtId="165" fontId="7" fillId="4" borderId="0" xfId="0" applyNumberFormat="1" applyFont="1" applyFill="1" applyBorder="1" applyAlignment="1">
      <alignment horizontal="center"/>
    </xf>
    <xf numFmtId="0" fontId="11" fillId="7" borderId="34" xfId="0" applyFont="1" applyFill="1" applyBorder="1" applyAlignment="1">
      <alignment horizontal="center" wrapText="1"/>
    </xf>
    <xf numFmtId="0" fontId="11" fillId="7" borderId="37" xfId="0" applyFont="1" applyFill="1" applyBorder="1" applyAlignment="1">
      <alignment horizontal="center" wrapText="1"/>
    </xf>
    <xf numFmtId="0" fontId="33" fillId="6" borderId="36" xfId="0" applyFont="1" applyFill="1" applyBorder="1" applyAlignment="1"/>
    <xf numFmtId="0" fontId="33" fillId="6" borderId="38" xfId="0" applyFont="1" applyFill="1" applyBorder="1" applyAlignment="1">
      <alignment horizontal="center"/>
    </xf>
    <xf numFmtId="0" fontId="0" fillId="28" borderId="13" xfId="0" applyFill="1" applyBorder="1" applyAlignment="1">
      <alignment horizontal="center"/>
    </xf>
    <xf numFmtId="2" fontId="0" fillId="28" borderId="13" xfId="0" applyNumberFormat="1" applyFill="1" applyBorder="1" applyAlignment="1">
      <alignment horizontal="center"/>
    </xf>
    <xf numFmtId="0" fontId="11" fillId="7" borderId="33" xfId="0" applyFont="1" applyFill="1" applyBorder="1" applyAlignment="1">
      <alignment horizontal="center" wrapText="1"/>
    </xf>
    <xf numFmtId="0" fontId="11" fillId="7" borderId="36" xfId="0" applyFont="1" applyFill="1" applyBorder="1" applyAlignment="1">
      <alignment horizontal="center" wrapText="1"/>
    </xf>
    <xf numFmtId="165" fontId="7" fillId="30" borderId="0" xfId="0" applyNumberFormat="1" applyFont="1" applyFill="1" applyBorder="1" applyAlignment="1"/>
    <xf numFmtId="165" fontId="7" fillId="4" borderId="37" xfId="0" applyNumberFormat="1" applyFont="1" applyFill="1" applyBorder="1" applyAlignment="1">
      <alignment horizontal="center"/>
    </xf>
    <xf numFmtId="0" fontId="7" fillId="30" borderId="21" xfId="0" applyNumberFormat="1" applyFont="1" applyFill="1" applyBorder="1" applyAlignment="1">
      <alignment horizontal="center"/>
    </xf>
    <xf numFmtId="165" fontId="7" fillId="30" borderId="22" xfId="0" applyNumberFormat="1" applyFont="1" applyFill="1" applyBorder="1" applyAlignment="1">
      <alignment horizontal="center"/>
    </xf>
    <xf numFmtId="0" fontId="0" fillId="29" borderId="21" xfId="0" applyFill="1" applyBorder="1" applyAlignment="1">
      <alignment horizontal="center"/>
    </xf>
    <xf numFmtId="0" fontId="0" fillId="29" borderId="0" xfId="0" applyFill="1" applyBorder="1" applyAlignment="1"/>
    <xf numFmtId="165" fontId="0" fillId="29" borderId="0" xfId="0" applyNumberFormat="1" applyFill="1" applyBorder="1" applyAlignment="1"/>
    <xf numFmtId="0" fontId="0" fillId="29" borderId="22" xfId="0" applyFill="1" applyBorder="1"/>
    <xf numFmtId="0" fontId="0" fillId="29" borderId="0" xfId="0" applyFill="1" applyBorder="1"/>
    <xf numFmtId="0" fontId="0" fillId="29" borderId="36" xfId="0" applyFill="1" applyBorder="1" applyAlignment="1">
      <alignment horizontal="center"/>
    </xf>
    <xf numFmtId="0" fontId="0" fillId="29" borderId="37" xfId="0" applyFill="1" applyBorder="1" applyAlignment="1"/>
    <xf numFmtId="165" fontId="0" fillId="29" borderId="37" xfId="0" applyNumberFormat="1" applyFill="1" applyBorder="1" applyAlignment="1"/>
    <xf numFmtId="0" fontId="0" fillId="29" borderId="38" xfId="0" applyFill="1" applyBorder="1"/>
    <xf numFmtId="165" fontId="0" fillId="28" borderId="13" xfId="0" applyNumberFormat="1" applyFill="1" applyBorder="1" applyAlignment="1">
      <alignment horizontal="center"/>
    </xf>
    <xf numFmtId="0" fontId="7" fillId="0" borderId="50" xfId="0" applyFont="1" applyBorder="1"/>
    <xf numFmtId="0" fontId="7" fillId="4" borderId="22" xfId="0" applyFont="1" applyFill="1" applyBorder="1"/>
    <xf numFmtId="0" fontId="7" fillId="4" borderId="38" xfId="0" applyFont="1" applyFill="1" applyBorder="1"/>
    <xf numFmtId="0" fontId="11" fillId="7" borderId="51" xfId="0" applyFont="1" applyFill="1" applyBorder="1" applyAlignment="1">
      <alignment horizontal="center" wrapText="1"/>
    </xf>
    <xf numFmtId="0" fontId="7" fillId="0" borderId="16" xfId="0" applyFont="1" applyBorder="1" applyAlignment="1">
      <alignment horizontal="center"/>
    </xf>
    <xf numFmtId="0" fontId="9" fillId="6" borderId="34" xfId="0" applyFont="1" applyFill="1" applyBorder="1" applyAlignment="1">
      <alignment horizontal="center"/>
    </xf>
    <xf numFmtId="0" fontId="12" fillId="3" borderId="34" xfId="0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1" fontId="12" fillId="0" borderId="0" xfId="2" applyNumberFormat="1" applyFont="1" applyFill="1" applyBorder="1" applyAlignment="1">
      <alignment horizontal="center"/>
    </xf>
    <xf numFmtId="1" fontId="12" fillId="0" borderId="37" xfId="2" applyNumberFormat="1" applyFont="1" applyFill="1" applyBorder="1" applyAlignment="1">
      <alignment horizontal="center"/>
    </xf>
    <xf numFmtId="1" fontId="12" fillId="0" borderId="0" xfId="1" applyNumberFormat="1" applyFont="1" applyFill="1" applyBorder="1" applyAlignment="1">
      <alignment horizontal="center"/>
    </xf>
    <xf numFmtId="1" fontId="12" fillId="0" borderId="37" xfId="1" applyNumberFormat="1" applyFont="1" applyFill="1" applyBorder="1" applyAlignment="1">
      <alignment horizontal="center"/>
    </xf>
    <xf numFmtId="0" fontId="15" fillId="0" borderId="0" xfId="0" applyFont="1" applyBorder="1" applyAlignment="1">
      <alignment horizontal="center" wrapText="1"/>
    </xf>
    <xf numFmtId="165" fontId="0" fillId="0" borderId="0" xfId="0" applyNumberFormat="1"/>
    <xf numFmtId="2" fontId="0" fillId="29" borderId="13" xfId="0" applyNumberFormat="1" applyFill="1" applyBorder="1" applyAlignment="1">
      <alignment horizontal="center"/>
    </xf>
    <xf numFmtId="165" fontId="0" fillId="10" borderId="13" xfId="0" applyNumberFormat="1" applyFill="1" applyBorder="1" applyAlignment="1">
      <alignment horizontal="center"/>
    </xf>
    <xf numFmtId="165" fontId="0" fillId="31" borderId="13" xfId="0" applyNumberFormat="1" applyFill="1" applyBorder="1" applyAlignment="1">
      <alignment horizontal="center"/>
    </xf>
    <xf numFmtId="165" fontId="0" fillId="32" borderId="13" xfId="0" applyNumberFormat="1" applyFill="1" applyBorder="1" applyAlignment="1">
      <alignment horizontal="center"/>
    </xf>
    <xf numFmtId="165" fontId="0" fillId="34" borderId="13" xfId="0" applyNumberFormat="1" applyFill="1" applyBorder="1" applyAlignment="1">
      <alignment horizontal="center"/>
    </xf>
    <xf numFmtId="165" fontId="0" fillId="35" borderId="13" xfId="0" applyNumberFormat="1" applyFill="1" applyBorder="1" applyAlignment="1">
      <alignment horizontal="center"/>
    </xf>
    <xf numFmtId="0" fontId="0" fillId="16" borderId="0" xfId="0" applyFill="1" applyBorder="1" applyProtection="1">
      <protection hidden="1"/>
    </xf>
    <xf numFmtId="0" fontId="6" fillId="37" borderId="0" xfId="3" applyFont="1" applyFill="1" applyAlignment="1">
      <alignment horizontal="center" vertical="center"/>
    </xf>
    <xf numFmtId="168" fontId="0" fillId="36" borderId="0" xfId="0" applyNumberFormat="1" applyFill="1" applyAlignment="1">
      <alignment horizontal="center"/>
    </xf>
    <xf numFmtId="166" fontId="21" fillId="16" borderId="13" xfId="0" applyNumberFormat="1" applyFont="1" applyFill="1" applyBorder="1" applyAlignment="1" applyProtection="1">
      <alignment horizontal="center" vertical="center"/>
      <protection locked="0"/>
    </xf>
    <xf numFmtId="0" fontId="21" fillId="16" borderId="13" xfId="0" applyNumberFormat="1" applyFont="1" applyFill="1" applyBorder="1" applyAlignment="1" applyProtection="1">
      <alignment horizontal="center" vertical="center"/>
      <protection locked="0"/>
    </xf>
    <xf numFmtId="0" fontId="21" fillId="27" borderId="0" xfId="0" applyFont="1" applyFill="1" applyBorder="1" applyAlignment="1" applyProtection="1">
      <alignment horizontal="center" vertical="center"/>
      <protection locked="0"/>
    </xf>
    <xf numFmtId="0" fontId="21" fillId="16" borderId="13" xfId="0" applyFont="1" applyFill="1" applyBorder="1" applyAlignment="1" applyProtection="1">
      <alignment horizontal="center" vertical="center"/>
      <protection locked="0"/>
    </xf>
    <xf numFmtId="0" fontId="2" fillId="27" borderId="0" xfId="0" applyFont="1" applyFill="1" applyBorder="1" applyProtection="1">
      <protection hidden="1"/>
    </xf>
    <xf numFmtId="0" fontId="2" fillId="27" borderId="0" xfId="0" applyFont="1" applyFill="1" applyBorder="1" applyAlignment="1" applyProtection="1">
      <alignment horizontal="left"/>
      <protection hidden="1"/>
    </xf>
    <xf numFmtId="0" fontId="2" fillId="27" borderId="0" xfId="0" applyFont="1" applyFill="1" applyBorder="1" applyAlignment="1" applyProtection="1">
      <alignment horizontal="left" indent="5"/>
      <protection hidden="1"/>
    </xf>
    <xf numFmtId="0" fontId="0" fillId="27" borderId="0" xfId="0" applyFill="1" applyBorder="1" applyProtection="1">
      <protection hidden="1"/>
    </xf>
    <xf numFmtId="0" fontId="19" fillId="13" borderId="14" xfId="0" applyFont="1" applyFill="1" applyBorder="1" applyAlignment="1" applyProtection="1">
      <alignment horizontal="center" vertical="center"/>
      <protection locked="0"/>
    </xf>
    <xf numFmtId="168" fontId="19" fillId="24" borderId="15" xfId="0" applyNumberFormat="1" applyFont="1" applyFill="1" applyBorder="1" applyAlignment="1" applyProtection="1">
      <alignment horizontal="center" vertical="center"/>
      <protection locked="0"/>
    </xf>
    <xf numFmtId="0" fontId="0" fillId="16" borderId="7" xfId="0" applyFill="1" applyBorder="1" applyProtection="1">
      <protection hidden="1"/>
    </xf>
    <xf numFmtId="0" fontId="0" fillId="16" borderId="8" xfId="0" applyFill="1" applyBorder="1" applyProtection="1">
      <protection hidden="1"/>
    </xf>
    <xf numFmtId="0" fontId="30" fillId="16" borderId="0" xfId="0" applyFont="1" applyFill="1" applyBorder="1" applyProtection="1">
      <protection hidden="1"/>
    </xf>
    <xf numFmtId="165" fontId="31" fillId="16" borderId="0" xfId="0" applyNumberFormat="1" applyFont="1" applyFill="1" applyBorder="1" applyProtection="1">
      <protection hidden="1"/>
    </xf>
    <xf numFmtId="165" fontId="31" fillId="16" borderId="0" xfId="0" applyNumberFormat="1" applyFont="1" applyFill="1" applyBorder="1" applyAlignment="1" applyProtection="1">
      <alignment horizontal="right"/>
      <protection hidden="1"/>
    </xf>
    <xf numFmtId="0" fontId="0" fillId="12" borderId="7" xfId="0" applyFill="1" applyBorder="1" applyProtection="1">
      <protection hidden="1"/>
    </xf>
    <xf numFmtId="0" fontId="0" fillId="12" borderId="0" xfId="0" applyFill="1" applyBorder="1" applyProtection="1">
      <protection hidden="1"/>
    </xf>
    <xf numFmtId="0" fontId="0" fillId="12" borderId="8" xfId="0" applyFill="1" applyBorder="1" applyProtection="1">
      <protection hidden="1"/>
    </xf>
    <xf numFmtId="0" fontId="0" fillId="26" borderId="8" xfId="0" applyFill="1" applyBorder="1" applyProtection="1">
      <protection hidden="1"/>
    </xf>
    <xf numFmtId="0" fontId="0" fillId="25" borderId="0" xfId="0" applyFill="1" applyProtection="1">
      <protection hidden="1"/>
    </xf>
    <xf numFmtId="0" fontId="0" fillId="26" borderId="7" xfId="0" applyFill="1" applyBorder="1" applyProtection="1">
      <protection hidden="1"/>
    </xf>
    <xf numFmtId="0" fontId="18" fillId="18" borderId="1" xfId="0" applyFont="1" applyFill="1" applyBorder="1" applyAlignment="1" applyProtection="1">
      <alignment horizontal="center" vertical="center" wrapText="1"/>
      <protection hidden="1"/>
    </xf>
    <xf numFmtId="168" fontId="28" fillId="19" borderId="2" xfId="0" applyNumberFormat="1" applyFont="1" applyFill="1" applyBorder="1" applyAlignment="1" applyProtection="1">
      <alignment horizontal="center" vertical="center" wrapText="1"/>
      <protection hidden="1"/>
    </xf>
    <xf numFmtId="0" fontId="18" fillId="20" borderId="1" xfId="0" applyFont="1" applyFill="1" applyBorder="1" applyAlignment="1" applyProtection="1">
      <alignment horizontal="center" vertical="center" wrapText="1"/>
      <protection hidden="1"/>
    </xf>
    <xf numFmtId="168" fontId="29" fillId="21" borderId="2" xfId="0" applyNumberFormat="1" applyFont="1" applyFill="1" applyBorder="1" applyAlignment="1" applyProtection="1">
      <alignment horizontal="center" vertical="center" wrapText="1"/>
      <protection hidden="1"/>
    </xf>
    <xf numFmtId="0" fontId="0" fillId="12" borderId="10" xfId="0" applyFill="1" applyBorder="1" applyProtection="1">
      <protection hidden="1"/>
    </xf>
    <xf numFmtId="0" fontId="0" fillId="12" borderId="42" xfId="0" applyFill="1" applyBorder="1" applyProtection="1">
      <protection hidden="1"/>
    </xf>
    <xf numFmtId="0" fontId="0" fillId="12" borderId="11" xfId="0" applyFill="1" applyBorder="1" applyProtection="1">
      <protection hidden="1"/>
    </xf>
    <xf numFmtId="169" fontId="5" fillId="4" borderId="3" xfId="3" applyNumberFormat="1" applyFont="1" applyFill="1" applyBorder="1"/>
    <xf numFmtId="169" fontId="5" fillId="4" borderId="6" xfId="3" applyNumberFormat="1" applyFont="1" applyFill="1" applyBorder="1"/>
    <xf numFmtId="169" fontId="5" fillId="4" borderId="9" xfId="3" applyNumberFormat="1" applyFont="1" applyFill="1" applyBorder="1"/>
    <xf numFmtId="0" fontId="2" fillId="12" borderId="0" xfId="0" applyFont="1" applyFill="1" applyBorder="1" applyAlignment="1" applyProtection="1">
      <alignment horizontal="left" indent="3"/>
      <protection hidden="1"/>
    </xf>
    <xf numFmtId="0" fontId="2" fillId="12" borderId="13" xfId="0" applyFont="1" applyFill="1" applyBorder="1" applyAlignment="1">
      <alignment horizontal="center" vertical="center" wrapText="1"/>
    </xf>
    <xf numFmtId="2" fontId="0" fillId="12" borderId="13" xfId="0" applyNumberFormat="1" applyFill="1" applyBorder="1" applyAlignment="1">
      <alignment horizontal="center"/>
    </xf>
    <xf numFmtId="0" fontId="34" fillId="14" borderId="13" xfId="0" applyFont="1" applyFill="1" applyBorder="1" applyAlignment="1">
      <alignment horizontal="center" vertical="center" wrapText="1"/>
    </xf>
    <xf numFmtId="0" fontId="34" fillId="14" borderId="13" xfId="0" applyFont="1" applyFill="1" applyBorder="1" applyAlignment="1">
      <alignment horizontal="center" vertical="center"/>
    </xf>
    <xf numFmtId="0" fontId="34" fillId="13" borderId="13" xfId="0" applyFont="1" applyFill="1" applyBorder="1" applyAlignment="1">
      <alignment horizontal="center" vertical="center"/>
    </xf>
    <xf numFmtId="0" fontId="34" fillId="13" borderId="13" xfId="0" applyFont="1" applyFill="1" applyBorder="1" applyAlignment="1">
      <alignment horizontal="center" vertical="center" wrapText="1"/>
    </xf>
    <xf numFmtId="0" fontId="34" fillId="20" borderId="13" xfId="0" applyFont="1" applyFill="1" applyBorder="1" applyAlignment="1">
      <alignment horizontal="center" vertical="center" wrapText="1"/>
    </xf>
    <xf numFmtId="0" fontId="34" fillId="33" borderId="13" xfId="0" applyFont="1" applyFill="1" applyBorder="1" applyAlignment="1">
      <alignment horizontal="center" vertical="center" wrapText="1"/>
    </xf>
    <xf numFmtId="0" fontId="34" fillId="24" borderId="13" xfId="0" applyFont="1" applyFill="1" applyBorder="1" applyAlignment="1">
      <alignment horizontal="center" vertical="center" wrapText="1"/>
    </xf>
    <xf numFmtId="0" fontId="34" fillId="18" borderId="14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2" fillId="9" borderId="36" xfId="0" applyFont="1" applyFill="1" applyBorder="1"/>
    <xf numFmtId="0" fontId="7" fillId="0" borderId="31" xfId="0" applyFont="1" applyBorder="1"/>
    <xf numFmtId="0" fontId="7" fillId="0" borderId="52" xfId="0" applyFont="1" applyBorder="1"/>
    <xf numFmtId="0" fontId="34" fillId="18" borderId="13" xfId="0" applyFont="1" applyFill="1" applyBorder="1" applyAlignment="1">
      <alignment horizontal="center" vertical="center" wrapText="1"/>
    </xf>
    <xf numFmtId="0" fontId="34" fillId="39" borderId="13" xfId="0" applyFont="1" applyFill="1" applyBorder="1" applyAlignment="1">
      <alignment horizontal="center" vertical="center" wrapText="1"/>
    </xf>
    <xf numFmtId="0" fontId="2" fillId="42" borderId="13" xfId="0" applyFont="1" applyFill="1" applyBorder="1" applyAlignment="1">
      <alignment horizontal="center" vertical="center" wrapText="1"/>
    </xf>
    <xf numFmtId="0" fontId="34" fillId="43" borderId="13" xfId="0" applyFont="1" applyFill="1" applyBorder="1" applyAlignment="1">
      <alignment horizontal="center" vertical="center" wrapText="1"/>
    </xf>
    <xf numFmtId="2" fontId="0" fillId="40" borderId="13" xfId="0" applyNumberFormat="1" applyFill="1" applyBorder="1" applyAlignment="1">
      <alignment horizontal="center"/>
    </xf>
    <xf numFmtId="2" fontId="0" fillId="41" borderId="13" xfId="0" applyNumberFormat="1" applyFill="1" applyBorder="1" applyAlignment="1">
      <alignment horizontal="center"/>
    </xf>
    <xf numFmtId="168" fontId="31" fillId="12" borderId="0" xfId="0" applyNumberFormat="1" applyFont="1" applyFill="1" applyBorder="1" applyAlignment="1" applyProtection="1">
      <alignment horizontal="center"/>
      <protection hidden="1"/>
    </xf>
    <xf numFmtId="0" fontId="38" fillId="16" borderId="14" xfId="0" applyFont="1" applyFill="1" applyBorder="1" applyProtection="1">
      <protection hidden="1"/>
    </xf>
    <xf numFmtId="0" fontId="42" fillId="27" borderId="0" xfId="0" applyFont="1" applyFill="1" applyBorder="1" applyAlignment="1" applyProtection="1">
      <alignment horizontal="left" indent="3"/>
      <protection hidden="1"/>
    </xf>
    <xf numFmtId="0" fontId="21" fillId="27" borderId="0" xfId="0" applyFont="1" applyFill="1" applyAlignment="1" applyProtection="1">
      <alignment horizontal="center" vertical="center"/>
      <protection hidden="1"/>
    </xf>
    <xf numFmtId="0" fontId="2" fillId="27" borderId="0" xfId="0" applyFont="1" applyFill="1" applyAlignment="1" applyProtection="1">
      <alignment horizontal="left" indent="5"/>
      <protection hidden="1"/>
    </xf>
    <xf numFmtId="0" fontId="0" fillId="27" borderId="37" xfId="0" applyFill="1" applyBorder="1" applyProtection="1">
      <protection hidden="1"/>
    </xf>
    <xf numFmtId="0" fontId="21" fillId="27" borderId="0" xfId="0" applyFont="1" applyFill="1" applyBorder="1" applyAlignment="1" applyProtection="1">
      <alignment horizontal="center" vertical="center"/>
      <protection hidden="1"/>
    </xf>
    <xf numFmtId="0" fontId="21" fillId="27" borderId="0" xfId="0" applyFont="1" applyFill="1" applyBorder="1" applyAlignment="1" applyProtection="1">
      <alignment horizontal="center" vertical="center"/>
      <protection locked="0" hidden="1"/>
    </xf>
    <xf numFmtId="10" fontId="21" fillId="16" borderId="13" xfId="2" applyNumberFormat="1" applyFont="1" applyFill="1" applyBorder="1" applyAlignment="1" applyProtection="1">
      <alignment horizontal="center" vertical="center"/>
      <protection locked="0" hidden="1"/>
    </xf>
    <xf numFmtId="0" fontId="21" fillId="16" borderId="13" xfId="0" applyFont="1" applyFill="1" applyBorder="1" applyAlignment="1" applyProtection="1">
      <alignment horizontal="center" vertical="center"/>
      <protection locked="0" hidden="1"/>
    </xf>
    <xf numFmtId="0" fontId="0" fillId="26" borderId="42" xfId="0" applyFill="1" applyBorder="1" applyProtection="1">
      <protection hidden="1"/>
    </xf>
    <xf numFmtId="0" fontId="0" fillId="26" borderId="11" xfId="0" applyFill="1" applyBorder="1" applyProtection="1">
      <protection hidden="1"/>
    </xf>
    <xf numFmtId="0" fontId="0" fillId="16" borderId="53" xfId="0" applyFill="1" applyBorder="1" applyProtection="1">
      <protection hidden="1"/>
    </xf>
    <xf numFmtId="0" fontId="39" fillId="16" borderId="53" xfId="0" applyFont="1" applyFill="1" applyBorder="1" applyAlignment="1" applyProtection="1">
      <alignment horizontal="right"/>
      <protection hidden="1"/>
    </xf>
    <xf numFmtId="0" fontId="0" fillId="16" borderId="15" xfId="0" applyFill="1" applyBorder="1" applyProtection="1">
      <protection hidden="1"/>
    </xf>
    <xf numFmtId="0" fontId="16" fillId="25" borderId="0" xfId="0" applyFont="1" applyFill="1" applyProtection="1">
      <protection hidden="1"/>
    </xf>
    <xf numFmtId="0" fontId="0" fillId="26" borderId="4" xfId="0" applyFill="1" applyBorder="1" applyProtection="1">
      <protection hidden="1"/>
    </xf>
    <xf numFmtId="0" fontId="0" fillId="26" borderId="12" xfId="0" applyFill="1" applyBorder="1" applyProtection="1">
      <protection hidden="1"/>
    </xf>
    <xf numFmtId="0" fontId="0" fillId="26" borderId="5" xfId="0" applyFill="1" applyBorder="1" applyProtection="1">
      <protection hidden="1"/>
    </xf>
    <xf numFmtId="0" fontId="0" fillId="22" borderId="4" xfId="0" applyFill="1" applyBorder="1" applyProtection="1">
      <protection hidden="1"/>
    </xf>
    <xf numFmtId="0" fontId="0" fillId="22" borderId="12" xfId="0" applyFill="1" applyBorder="1" applyProtection="1">
      <protection hidden="1"/>
    </xf>
    <xf numFmtId="0" fontId="0" fillId="22" borderId="5" xfId="0" applyFill="1" applyBorder="1" applyProtection="1">
      <protection hidden="1"/>
    </xf>
    <xf numFmtId="0" fontId="0" fillId="0" borderId="4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5" xfId="0" applyBorder="1" applyProtection="1">
      <protection hidden="1"/>
    </xf>
    <xf numFmtId="0" fontId="0" fillId="22" borderId="7" xfId="0" applyFill="1" applyBorder="1" applyProtection="1">
      <protection hidden="1"/>
    </xf>
    <xf numFmtId="0" fontId="0" fillId="22" borderId="8" xfId="0" applyFill="1" applyBorder="1" applyProtection="1">
      <protection hidden="1"/>
    </xf>
    <xf numFmtId="0" fontId="0" fillId="0" borderId="7" xfId="0" applyBorder="1" applyProtection="1">
      <protection hidden="1"/>
    </xf>
    <xf numFmtId="0" fontId="20" fillId="0" borderId="8" xfId="0" applyFont="1" applyFill="1" applyBorder="1" applyAlignment="1" applyProtection="1">
      <protection hidden="1"/>
    </xf>
    <xf numFmtId="170" fontId="43" fillId="0" borderId="16" xfId="0" applyNumberFormat="1" applyFont="1" applyBorder="1"/>
    <xf numFmtId="0" fontId="7" fillId="0" borderId="55" xfId="0" applyFont="1" applyBorder="1"/>
    <xf numFmtId="0" fontId="7" fillId="0" borderId="56" xfId="0" applyFont="1" applyBorder="1"/>
    <xf numFmtId="165" fontId="7" fillId="0" borderId="57" xfId="0" applyNumberFormat="1" applyFont="1" applyBorder="1" applyAlignment="1">
      <alignment horizontal="center"/>
    </xf>
    <xf numFmtId="165" fontId="7" fillId="0" borderId="54" xfId="0" applyNumberFormat="1" applyFont="1" applyBorder="1" applyAlignment="1">
      <alignment horizontal="center"/>
    </xf>
    <xf numFmtId="0" fontId="12" fillId="10" borderId="39" xfId="0" applyFont="1" applyFill="1" applyBorder="1" applyAlignment="1">
      <alignment horizontal="center"/>
    </xf>
    <xf numFmtId="166" fontId="12" fillId="8" borderId="39" xfId="0" applyNumberFormat="1" applyFont="1" applyFill="1" applyBorder="1" applyAlignment="1">
      <alignment horizontal="center"/>
    </xf>
    <xf numFmtId="0" fontId="12" fillId="8" borderId="39" xfId="0" applyFont="1" applyFill="1" applyBorder="1" applyAlignment="1">
      <alignment horizontal="center"/>
    </xf>
    <xf numFmtId="166" fontId="12" fillId="9" borderId="39" xfId="0" applyNumberFormat="1" applyFont="1" applyFill="1" applyBorder="1" applyAlignment="1">
      <alignment horizontal="center"/>
    </xf>
    <xf numFmtId="0" fontId="12" fillId="9" borderId="40" xfId="0" applyFont="1" applyFill="1" applyBorder="1" applyAlignment="1">
      <alignment horizontal="center"/>
    </xf>
    <xf numFmtId="0" fontId="35" fillId="27" borderId="0" xfId="0" applyFont="1" applyFill="1" applyAlignment="1" applyProtection="1">
      <alignment horizontal="left" indent="3"/>
      <protection hidden="1"/>
    </xf>
    <xf numFmtId="0" fontId="36" fillId="14" borderId="58" xfId="0" applyFont="1" applyFill="1" applyBorder="1" applyAlignment="1" applyProtection="1">
      <alignment vertical="center" wrapText="1"/>
      <protection hidden="1"/>
    </xf>
    <xf numFmtId="168" fontId="37" fillId="9" borderId="59" xfId="0" applyNumberFormat="1" applyFont="1" applyFill="1" applyBorder="1" applyAlignment="1" applyProtection="1">
      <alignment horizontal="center" vertical="center" wrapText="1"/>
      <protection hidden="1"/>
    </xf>
    <xf numFmtId="168" fontId="18" fillId="45" borderId="59" xfId="0" applyNumberFormat="1" applyFont="1" applyFill="1" applyBorder="1" applyAlignment="1" applyProtection="1">
      <alignment horizontal="center" vertical="center" wrapText="1"/>
      <protection hidden="1"/>
    </xf>
    <xf numFmtId="0" fontId="0" fillId="16" borderId="0" xfId="0" applyFill="1" applyBorder="1"/>
    <xf numFmtId="0" fontId="44" fillId="44" borderId="58" xfId="0" applyFont="1" applyFill="1" applyBorder="1" applyAlignment="1" applyProtection="1">
      <alignment horizontal="center" vertical="center" wrapText="1"/>
      <protection hidden="1"/>
    </xf>
    <xf numFmtId="171" fontId="30" fillId="27" borderId="0" xfId="0" applyNumberFormat="1" applyFont="1" applyFill="1" applyBorder="1" applyAlignment="1" applyProtection="1">
      <alignment horizontal="center" vertical="center"/>
      <protection locked="0"/>
    </xf>
    <xf numFmtId="2" fontId="45" fillId="0" borderId="22" xfId="0" applyNumberFormat="1" applyFont="1" applyBorder="1" applyAlignment="1">
      <alignment horizontal="center"/>
    </xf>
    <xf numFmtId="2" fontId="45" fillId="0" borderId="22" xfId="0" applyNumberFormat="1" applyFont="1" applyBorder="1"/>
    <xf numFmtId="172" fontId="12" fillId="0" borderId="0" xfId="2" applyNumberFormat="1" applyFont="1" applyFill="1" applyBorder="1" applyAlignment="1">
      <alignment horizontal="center"/>
    </xf>
    <xf numFmtId="0" fontId="2" fillId="15" borderId="13" xfId="0" applyFont="1" applyFill="1" applyBorder="1" applyAlignment="1">
      <alignment horizontal="center"/>
    </xf>
    <xf numFmtId="0" fontId="46" fillId="0" borderId="13" xfId="0" applyFont="1" applyBorder="1" applyAlignment="1">
      <alignment horizontal="center"/>
    </xf>
    <xf numFmtId="0" fontId="2" fillId="16" borderId="13" xfId="0" applyFont="1" applyFill="1" applyBorder="1" applyAlignment="1">
      <alignment horizontal="center"/>
    </xf>
    <xf numFmtId="0" fontId="2" fillId="16" borderId="14" xfId="0" applyFont="1" applyFill="1" applyBorder="1" applyAlignment="1">
      <alignment horizontal="center"/>
    </xf>
    <xf numFmtId="0" fontId="2" fillId="16" borderId="53" xfId="0" applyFont="1" applyFill="1" applyBorder="1" applyAlignment="1">
      <alignment horizontal="center"/>
    </xf>
    <xf numFmtId="0" fontId="2" fillId="16" borderId="15" xfId="0" applyFont="1" applyFill="1" applyBorder="1" applyAlignment="1">
      <alignment horizontal="center"/>
    </xf>
    <xf numFmtId="0" fontId="0" fillId="0" borderId="39" xfId="0" applyFont="1" applyFill="1" applyBorder="1" applyAlignment="1"/>
    <xf numFmtId="0" fontId="41" fillId="16" borderId="53" xfId="4" applyFont="1" applyFill="1" applyBorder="1" applyAlignment="1" applyProtection="1">
      <alignment horizontal="left"/>
      <protection locked="0" hidden="1"/>
    </xf>
    <xf numFmtId="0" fontId="0" fillId="16" borderId="46" xfId="0" applyFill="1" applyBorder="1" applyAlignment="1" applyProtection="1">
      <alignment horizontal="center"/>
      <protection hidden="1"/>
    </xf>
    <xf numFmtId="0" fontId="0" fillId="16" borderId="37" xfId="0" applyFill="1" applyBorder="1" applyAlignment="1" applyProtection="1">
      <alignment horizontal="center"/>
      <protection hidden="1"/>
    </xf>
    <xf numFmtId="0" fontId="0" fillId="16" borderId="47" xfId="0" applyFill="1" applyBorder="1" applyAlignment="1" applyProtection="1">
      <alignment horizontal="center"/>
      <protection hidden="1"/>
    </xf>
    <xf numFmtId="0" fontId="18" fillId="11" borderId="4" xfId="0" applyFont="1" applyFill="1" applyBorder="1" applyAlignment="1">
      <alignment horizontal="center"/>
    </xf>
    <xf numFmtId="0" fontId="18" fillId="11" borderId="12" xfId="0" applyFont="1" applyFill="1" applyBorder="1" applyAlignment="1">
      <alignment horizontal="center"/>
    </xf>
    <xf numFmtId="0" fontId="18" fillId="11" borderId="5" xfId="0" applyFont="1" applyFill="1" applyBorder="1" applyAlignment="1">
      <alignment horizontal="center"/>
    </xf>
    <xf numFmtId="0" fontId="19" fillId="23" borderId="10" xfId="0" applyFont="1" applyFill="1" applyBorder="1" applyAlignment="1" applyProtection="1">
      <alignment horizontal="center" vertical="center"/>
      <protection locked="0"/>
    </xf>
    <xf numFmtId="0" fontId="19" fillId="23" borderId="11" xfId="0" applyFont="1" applyFill="1" applyBorder="1" applyAlignment="1" applyProtection="1">
      <alignment horizontal="center" vertical="center"/>
      <protection locked="0"/>
    </xf>
    <xf numFmtId="0" fontId="18" fillId="13" borderId="4" xfId="0" applyFont="1" applyFill="1" applyBorder="1" applyAlignment="1">
      <alignment horizontal="center"/>
    </xf>
    <xf numFmtId="0" fontId="18" fillId="13" borderId="12" xfId="0" applyFont="1" applyFill="1" applyBorder="1" applyAlignment="1">
      <alignment horizontal="center"/>
    </xf>
    <xf numFmtId="0" fontId="18" fillId="13" borderId="5" xfId="0" applyFont="1" applyFill="1" applyBorder="1" applyAlignment="1">
      <alignment horizontal="center"/>
    </xf>
    <xf numFmtId="0" fontId="25" fillId="20" borderId="0" xfId="0" applyFont="1" applyFill="1" applyAlignment="1" applyProtection="1">
      <alignment horizontal="center"/>
      <protection hidden="1"/>
    </xf>
    <xf numFmtId="0" fontId="26" fillId="20" borderId="0" xfId="0" applyFont="1" applyFill="1" applyAlignment="1" applyProtection="1">
      <alignment horizontal="center" vertical="center"/>
      <protection hidden="1"/>
    </xf>
    <xf numFmtId="0" fontId="27" fillId="20" borderId="0" xfId="0" applyFont="1" applyFill="1" applyAlignment="1" applyProtection="1">
      <alignment horizontal="center"/>
      <protection hidden="1"/>
    </xf>
    <xf numFmtId="0" fontId="17" fillId="12" borderId="43" xfId="0" applyFont="1" applyFill="1" applyBorder="1" applyAlignment="1" applyProtection="1">
      <alignment horizontal="center"/>
      <protection hidden="1"/>
    </xf>
    <xf numFmtId="0" fontId="17" fillId="12" borderId="44" xfId="0" applyFont="1" applyFill="1" applyBorder="1" applyAlignment="1" applyProtection="1">
      <alignment horizontal="center"/>
      <protection hidden="1"/>
    </xf>
    <xf numFmtId="0" fontId="20" fillId="15" borderId="14" xfId="0" applyFont="1" applyFill="1" applyBorder="1" applyAlignment="1" applyProtection="1">
      <alignment horizontal="center"/>
      <protection hidden="1"/>
    </xf>
    <xf numFmtId="0" fontId="20" fillId="15" borderId="15" xfId="0" applyFont="1" applyFill="1" applyBorder="1" applyAlignment="1" applyProtection="1">
      <alignment horizontal="center"/>
      <protection hidden="1"/>
    </xf>
    <xf numFmtId="0" fontId="33" fillId="6" borderId="14" xfId="0" applyFont="1" applyFill="1" applyBorder="1" applyAlignment="1">
      <alignment horizontal="center"/>
    </xf>
    <xf numFmtId="0" fontId="33" fillId="6" borderId="15" xfId="0" applyFont="1" applyFill="1" applyBorder="1" applyAlignment="1">
      <alignment horizontal="center"/>
    </xf>
    <xf numFmtId="0" fontId="9" fillId="6" borderId="18" xfId="0" applyFont="1" applyFill="1" applyBorder="1" applyAlignment="1">
      <alignment horizontal="center" wrapText="1"/>
    </xf>
    <xf numFmtId="0" fontId="9" fillId="6" borderId="19" xfId="0" applyFont="1" applyFill="1" applyBorder="1" applyAlignment="1">
      <alignment horizontal="center" wrapText="1"/>
    </xf>
    <xf numFmtId="0" fontId="9" fillId="6" borderId="21" xfId="0" applyFont="1" applyFill="1" applyBorder="1" applyAlignment="1">
      <alignment horizontal="center" wrapText="1"/>
    </xf>
    <xf numFmtId="0" fontId="9" fillId="6" borderId="22" xfId="0" applyFont="1" applyFill="1" applyBorder="1" applyAlignment="1">
      <alignment horizontal="center" wrapText="1"/>
    </xf>
    <xf numFmtId="0" fontId="5" fillId="3" borderId="3" xfId="3" applyFont="1" applyFill="1" applyBorder="1" applyAlignment="1">
      <alignment horizontal="center" vertical="center" wrapText="1"/>
    </xf>
    <xf numFmtId="0" fontId="5" fillId="3" borderId="6" xfId="3" applyFont="1" applyFill="1" applyBorder="1" applyAlignment="1">
      <alignment horizontal="center" vertical="center" wrapText="1"/>
    </xf>
    <xf numFmtId="0" fontId="5" fillId="3" borderId="9" xfId="3" applyFont="1" applyFill="1" applyBorder="1" applyAlignment="1">
      <alignment horizontal="center" vertical="center" wrapText="1"/>
    </xf>
    <xf numFmtId="0" fontId="8" fillId="15" borderId="10" xfId="3" applyFont="1" applyFill="1" applyBorder="1" applyAlignment="1">
      <alignment horizontal="center"/>
    </xf>
    <xf numFmtId="0" fontId="8" fillId="15" borderId="42" xfId="3" applyFont="1" applyFill="1" applyBorder="1" applyAlignment="1">
      <alignment horizontal="center"/>
    </xf>
    <xf numFmtId="0" fontId="8" fillId="15" borderId="11" xfId="3" applyFont="1" applyFill="1" applyBorder="1" applyAlignment="1">
      <alignment horizontal="center"/>
    </xf>
    <xf numFmtId="0" fontId="3" fillId="38" borderId="4" xfId="0" applyFont="1" applyFill="1" applyBorder="1" applyAlignment="1">
      <alignment horizontal="center" wrapText="1"/>
    </xf>
    <xf numFmtId="0" fontId="3" fillId="38" borderId="12" xfId="0" applyFont="1" applyFill="1" applyBorder="1" applyAlignment="1">
      <alignment horizontal="center" wrapText="1"/>
    </xf>
    <xf numFmtId="0" fontId="3" fillId="38" borderId="5" xfId="0" applyFont="1" applyFill="1" applyBorder="1" applyAlignment="1">
      <alignment horizontal="center" wrapText="1"/>
    </xf>
    <xf numFmtId="0" fontId="5" fillId="3" borderId="3" xfId="3" applyFont="1" applyFill="1" applyBorder="1" applyAlignment="1">
      <alignment horizontal="center" vertical="center"/>
    </xf>
    <xf numFmtId="0" fontId="5" fillId="3" borderId="6" xfId="3" applyFont="1" applyFill="1" applyBorder="1" applyAlignment="1">
      <alignment horizontal="center" vertical="center"/>
    </xf>
    <xf numFmtId="0" fontId="5" fillId="3" borderId="9" xfId="3" applyFont="1" applyFill="1" applyBorder="1" applyAlignment="1">
      <alignment horizontal="center" vertical="center"/>
    </xf>
    <xf numFmtId="0" fontId="2" fillId="0" borderId="60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16" borderId="14" xfId="0" applyFont="1" applyFill="1" applyBorder="1" applyAlignment="1">
      <alignment horizontal="center"/>
    </xf>
    <xf numFmtId="0" fontId="2" fillId="16" borderId="53" xfId="0" applyFont="1" applyFill="1" applyBorder="1" applyAlignment="1">
      <alignment horizontal="center"/>
    </xf>
    <xf numFmtId="0" fontId="2" fillId="16" borderId="15" xfId="0" applyFont="1" applyFill="1" applyBorder="1" applyAlignment="1">
      <alignment horizontal="center"/>
    </xf>
    <xf numFmtId="0" fontId="2" fillId="15" borderId="14" xfId="0" applyFont="1" applyFill="1" applyBorder="1" applyAlignment="1">
      <alignment horizontal="center"/>
    </xf>
    <xf numFmtId="0" fontId="2" fillId="15" borderId="15" xfId="0" applyFont="1" applyFill="1" applyBorder="1" applyAlignment="1">
      <alignment horizontal="center"/>
    </xf>
    <xf numFmtId="0" fontId="2" fillId="15" borderId="53" xfId="0" applyFont="1" applyFill="1" applyBorder="1" applyAlignment="1">
      <alignment horizontal="center"/>
    </xf>
    <xf numFmtId="165" fontId="0" fillId="9" borderId="13" xfId="0" applyNumberFormat="1" applyFill="1" applyBorder="1" applyAlignment="1">
      <alignment horizontal="center"/>
    </xf>
  </cellXfs>
  <cellStyles count="5">
    <cellStyle name="Currency" xfId="1" builtinId="4"/>
    <cellStyle name="Hyperlink" xfId="4" builtinId="8"/>
    <cellStyle name="Normal" xfId="0" builtinId="0"/>
    <cellStyle name="Normal 2" xfId="3" xr:uid="{76B3CA6F-7F69-4589-B623-AFA83DB4BB69}"/>
    <cellStyle name="Percent" xfId="2" builtinId="5"/>
  </cellStyles>
  <dxfs count="11"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D9F7DD"/>
      <color rgb="FF0E0C5A"/>
      <color rgb="FF155B2C"/>
      <color rgb="FFFFFFCC"/>
      <color rgb="FFDDC9ED"/>
      <color rgb="FFFCECE4"/>
      <color rgb="FFDCF3FC"/>
      <color rgb="FFE9F7FD"/>
      <color rgb="FFFFFFFF"/>
      <color rgb="FF176A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139700</xdr:colOff>
      <xdr:row>0</xdr:row>
      <xdr:rowOff>57150</xdr:rowOff>
    </xdr:from>
    <xdr:to>
      <xdr:col>26</xdr:col>
      <xdr:colOff>508000</xdr:colOff>
      <xdr:row>2</xdr:row>
      <xdr:rowOff>165100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C29DC28-B5F4-4120-86A5-502598B0C313}"/>
            </a:ext>
          </a:extLst>
        </xdr:cNvPr>
        <xdr:cNvSpPr txBox="1"/>
      </xdr:nvSpPr>
      <xdr:spPr>
        <a:xfrm>
          <a:off x="11163300" y="57150"/>
          <a:ext cx="7226300" cy="673100"/>
        </a:xfrm>
        <a:prstGeom prst="rect">
          <a:avLst/>
        </a:prstGeom>
        <a:solidFill>
          <a:srgbClr val="002060"/>
        </a:solidFill>
        <a:ln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 b="1" i="0" u="sng">
              <a:solidFill>
                <a:srgbClr val="FFFF00"/>
              </a:solidFill>
            </a:rPr>
            <a:t>Disclaimer:</a:t>
          </a:r>
        </a:p>
        <a:p>
          <a:r>
            <a:rPr lang="en-CA" sz="1000" b="1" i="1">
              <a:solidFill>
                <a:schemeClr val="accent4">
                  <a:lumMod val="50000"/>
                </a:schemeClr>
              </a:solidFill>
            </a:rPr>
            <a:t>     </a:t>
          </a:r>
          <a:r>
            <a:rPr lang="en-CA" sz="1100" b="1" i="1">
              <a:solidFill>
                <a:srgbClr val="FFFF00"/>
              </a:solidFill>
            </a:rPr>
            <a:t>Trial Pricing Calculator does not guarantee the final retail price.</a:t>
          </a:r>
          <a:r>
            <a:rPr lang="en-CA" sz="1100" b="1" i="1" baseline="0">
              <a:solidFill>
                <a:srgbClr val="FFFF00"/>
              </a:solidFill>
            </a:rPr>
            <a:t> Once processed, the retail price or cost may change.</a:t>
          </a:r>
        </a:p>
        <a:p>
          <a:r>
            <a:rPr lang="en-CA" sz="1100" b="1" i="1" baseline="0">
              <a:solidFill>
                <a:srgbClr val="FFFF00"/>
              </a:solidFill>
            </a:rPr>
            <a:t>     Product Size: The Trial Pricing Calculator is designed to price the most commonly used product sizes.</a:t>
          </a:r>
        </a:p>
        <a:p>
          <a:endParaRPr lang="en-CA" sz="1100"/>
        </a:p>
      </xdr:txBody>
    </xdr:sp>
    <xdr:clientData/>
  </xdr:twoCellAnchor>
  <xdr:twoCellAnchor>
    <xdr:from>
      <xdr:col>14</xdr:col>
      <xdr:colOff>139700</xdr:colOff>
      <xdr:row>2</xdr:row>
      <xdr:rowOff>177800</xdr:rowOff>
    </xdr:from>
    <xdr:to>
      <xdr:col>26</xdr:col>
      <xdr:colOff>476250</xdr:colOff>
      <xdr:row>3</xdr:row>
      <xdr:rowOff>266700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F5FE8CE-D255-4B9E-A5D5-5492F3EE0EEB}"/>
            </a:ext>
          </a:extLst>
        </xdr:cNvPr>
        <xdr:cNvSpPr txBox="1"/>
      </xdr:nvSpPr>
      <xdr:spPr>
        <a:xfrm>
          <a:off x="11163300" y="742950"/>
          <a:ext cx="7194550" cy="46355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>
          <a:solidFill>
            <a:schemeClr val="accent5">
              <a:lumMod val="60000"/>
              <a:lumOff val="40000"/>
            </a:schemeClr>
          </a:solidFill>
        </a:ln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algn="ctr"/>
          <a:r>
            <a:rPr lang="en-CA" sz="1300" b="1">
              <a:solidFill>
                <a:srgbClr val="FF0000"/>
              </a:solidFill>
            </a:rPr>
            <a:t>**Instructions</a:t>
          </a:r>
          <a:r>
            <a:rPr lang="en-CA" sz="1300" b="1" baseline="0">
              <a:solidFill>
                <a:srgbClr val="FF0000"/>
              </a:solidFill>
            </a:rPr>
            <a:t> on how to fill out the Trial Pricing Calculator**</a:t>
          </a:r>
        </a:p>
        <a:p>
          <a:pPr algn="ctr"/>
          <a:r>
            <a:rPr lang="en-CA" sz="900" b="1" baseline="0">
              <a:solidFill>
                <a:srgbClr val="002060"/>
              </a:solidFill>
            </a:rPr>
            <a:t>(Please fill out all the applicable info. </a:t>
          </a:r>
          <a:r>
            <a:rPr lang="en-CA" sz="900" b="1" baseline="0">
              <a:solidFill>
                <a:schemeClr val="accent4">
                  <a:lumMod val="50000"/>
                </a:schemeClr>
              </a:solidFill>
            </a:rPr>
            <a:t>Please ensure all fields are filled out correctly</a:t>
          </a:r>
          <a:r>
            <a:rPr lang="en-CA" sz="900" b="1" baseline="0">
              <a:solidFill>
                <a:srgbClr val="002060"/>
              </a:solidFill>
            </a:rPr>
            <a:t>)</a:t>
          </a:r>
          <a:endParaRPr lang="en-CA" sz="900" b="1">
            <a:solidFill>
              <a:srgbClr val="002060"/>
            </a:solidFill>
          </a:endParaRPr>
        </a:p>
      </xdr:txBody>
    </xdr:sp>
    <xdr:clientData/>
  </xdr:twoCellAnchor>
  <xdr:twoCellAnchor>
    <xdr:from>
      <xdr:col>14</xdr:col>
      <xdr:colOff>139700</xdr:colOff>
      <xdr:row>3</xdr:row>
      <xdr:rowOff>273050</xdr:rowOff>
    </xdr:from>
    <xdr:to>
      <xdr:col>26</xdr:col>
      <xdr:colOff>592666</xdr:colOff>
      <xdr:row>40</xdr:row>
      <xdr:rowOff>177800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2FC92CD6-6378-433F-BCB3-BAD1C9E30E97}"/>
            </a:ext>
          </a:extLst>
        </xdr:cNvPr>
        <xdr:cNvSpPr txBox="1"/>
      </xdr:nvSpPr>
      <xdr:spPr>
        <a:xfrm>
          <a:off x="11174589" y="1218494"/>
          <a:ext cx="7282744" cy="7651750"/>
        </a:xfrm>
        <a:prstGeom prst="rect">
          <a:avLst/>
        </a:prstGeom>
        <a:solidFill>
          <a:schemeClr val="accent4">
            <a:lumMod val="50000"/>
          </a:schemeClr>
        </a:solidFill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buFont typeface="Wingdings" panose="05000000000000000000" pitchFamily="2" charset="2"/>
            <a:buChar char="q"/>
          </a:pPr>
          <a:r>
            <a:rPr lang="en-CA" sz="1100" b="1" u="sng">
              <a:solidFill>
                <a:schemeClr val="accent2">
                  <a:lumMod val="20000"/>
                  <a:lumOff val="80000"/>
                </a:schemeClr>
              </a:solidFill>
            </a:rPr>
            <a:t>Step 1</a:t>
          </a:r>
          <a:r>
            <a:rPr lang="en-CA" sz="1100">
              <a:solidFill>
                <a:schemeClr val="accent2">
                  <a:lumMod val="20000"/>
                  <a:lumOff val="80000"/>
                </a:schemeClr>
              </a:solidFill>
            </a:rPr>
            <a:t>:</a:t>
          </a:r>
        </a:p>
        <a:p>
          <a:pPr marL="628650" lvl="1" indent="-171450">
            <a:buFont typeface="Wingdings" panose="05000000000000000000" pitchFamily="2" charset="2"/>
            <a:buChar char="§"/>
          </a:pPr>
          <a:r>
            <a:rPr lang="en-CA" sz="1100">
              <a:solidFill>
                <a:schemeClr val="bg1"/>
              </a:solidFill>
            </a:rPr>
            <a:t>Please ensure all fields are </a:t>
          </a:r>
          <a:r>
            <a:rPr lang="en-CA" sz="1100" b="1" u="sng">
              <a:solidFill>
                <a:schemeClr val="bg1"/>
              </a:solidFill>
            </a:rPr>
            <a:t>BLANK</a:t>
          </a:r>
          <a:r>
            <a:rPr lang="en-CA" sz="1100">
              <a:solidFill>
                <a:schemeClr val="bg1"/>
              </a:solidFill>
            </a:rPr>
            <a:t> before trial pricing</a:t>
          </a:r>
        </a:p>
        <a:p>
          <a:pPr marL="628650" lvl="1" indent="-171450">
            <a:buFont typeface="Wingdings" panose="05000000000000000000" pitchFamily="2" charset="2"/>
            <a:buChar char="§"/>
          </a:pPr>
          <a:r>
            <a:rPr lang="en-CA" sz="1100">
              <a:solidFill>
                <a:schemeClr val="bg1"/>
              </a:solidFill>
            </a:rPr>
            <a:t>Please select:</a:t>
          </a:r>
        </a:p>
        <a:p>
          <a:pPr marL="1085850" lvl="2" indent="-171450">
            <a:buFont typeface="Wingdings" panose="05000000000000000000" pitchFamily="2" charset="2"/>
            <a:buChar char="Ø"/>
          </a:pPr>
          <a:r>
            <a:rPr lang="en-CA" sz="1300" b="1" u="sng">
              <a:solidFill>
                <a:srgbClr val="FFCC00"/>
              </a:solidFill>
            </a:rPr>
            <a:t>MBLL</a:t>
          </a:r>
          <a:r>
            <a:rPr lang="en-CA" sz="1300" b="1" u="sng" baseline="0">
              <a:solidFill>
                <a:srgbClr val="FFCC00"/>
              </a:solidFill>
            </a:rPr>
            <a:t> Distribution </a:t>
          </a:r>
          <a:r>
            <a:rPr lang="en-CA" sz="1300" b="1" u="sng" baseline="0">
              <a:solidFill>
                <a:schemeClr val="bg1"/>
              </a:solidFill>
            </a:rPr>
            <a:t>or</a:t>
          </a:r>
          <a:r>
            <a:rPr lang="en-CA" sz="1300" b="1" u="sng" baseline="0">
              <a:solidFill>
                <a:srgbClr val="FFFF00"/>
              </a:solidFill>
            </a:rPr>
            <a:t> </a:t>
          </a:r>
          <a:r>
            <a:rPr lang="en-CA" sz="1300" b="1" u="sng" baseline="0">
              <a:solidFill>
                <a:srgbClr val="FFCC00"/>
              </a:solidFill>
            </a:rPr>
            <a:t>'PRIVATE Distribution</a:t>
          </a:r>
          <a:endParaRPr lang="en-CA" sz="1300" baseline="0">
            <a:solidFill>
              <a:srgbClr val="FFCC00"/>
            </a:solidFill>
          </a:endParaRPr>
        </a:p>
        <a:p>
          <a:pPr marL="628650" lvl="1" indent="-171450">
            <a:buFont typeface="Wingdings" panose="05000000000000000000" pitchFamily="2" charset="2"/>
            <a:buChar char="§"/>
          </a:pPr>
          <a:endParaRPr lang="en-CA" sz="500" baseline="0">
            <a:solidFill>
              <a:schemeClr val="bg1"/>
            </a:solidFill>
          </a:endParaRPr>
        </a:p>
        <a:p>
          <a:pPr marL="171450" lvl="0" indent="-171450">
            <a:buFont typeface="Wingdings" panose="05000000000000000000" pitchFamily="2" charset="2"/>
            <a:buChar char="q"/>
          </a:pPr>
          <a:r>
            <a:rPr lang="en-CA" sz="1100" b="1" u="sng" baseline="0">
              <a:solidFill>
                <a:schemeClr val="accent2">
                  <a:lumMod val="20000"/>
                  <a:lumOff val="80000"/>
                </a:schemeClr>
              </a:solidFill>
            </a:rPr>
            <a:t>Step 2:</a:t>
          </a:r>
        </a:p>
        <a:p>
          <a:pPr marL="628650" lvl="1" indent="-171450">
            <a:buFont typeface="Wingdings" panose="05000000000000000000" pitchFamily="2" charset="2"/>
            <a:buChar char="§"/>
          </a:pPr>
          <a:r>
            <a:rPr lang="en-CA" sz="1100" b="1" baseline="0">
              <a:solidFill>
                <a:schemeClr val="bg1"/>
              </a:solidFill>
            </a:rPr>
            <a:t>Select the Pricing desired to trial price</a:t>
          </a:r>
        </a:p>
        <a:p>
          <a:pPr marL="1085850" lvl="2" indent="-171450">
            <a:buFont typeface="Wingdings" panose="05000000000000000000" pitchFamily="2" charset="2"/>
            <a:buChar char="v"/>
          </a:pPr>
          <a:r>
            <a:rPr lang="en-CA" sz="1100" b="1" u="sng" baseline="0">
              <a:solidFill>
                <a:srgbClr val="FFFF00"/>
              </a:solidFill>
            </a:rPr>
            <a:t>MBLL DISTRIBUTION</a:t>
          </a:r>
          <a:r>
            <a:rPr lang="en-CA" sz="1100" baseline="0">
              <a:solidFill>
                <a:srgbClr val="FFFF00"/>
              </a:solidFill>
            </a:rPr>
            <a:t>:</a:t>
          </a: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="1" baseline="0">
              <a:solidFill>
                <a:schemeClr val="bg1"/>
              </a:solidFill>
            </a:rPr>
            <a:t>Select either </a:t>
          </a:r>
          <a:r>
            <a:rPr lang="en-CA" sz="1000" b="1" baseline="0">
              <a:solidFill>
                <a:srgbClr val="FFFF00"/>
              </a:solidFill>
            </a:rPr>
            <a:t>Case Cost </a:t>
          </a:r>
          <a:r>
            <a:rPr lang="en-CA" sz="1000" b="1" baseline="0">
              <a:solidFill>
                <a:schemeClr val="bg1"/>
              </a:solidFill>
            </a:rPr>
            <a:t>or </a:t>
          </a:r>
          <a:r>
            <a:rPr lang="en-CA" sz="1000" b="1" baseline="0">
              <a:solidFill>
                <a:srgbClr val="FFFF00"/>
              </a:solidFill>
            </a:rPr>
            <a:t>Retail Price </a:t>
          </a:r>
          <a:r>
            <a:rPr lang="en-CA" sz="1000" b="1" baseline="0">
              <a:solidFill>
                <a:schemeClr val="bg1"/>
              </a:solidFill>
            </a:rPr>
            <a:t>- </a:t>
          </a:r>
          <a:r>
            <a:rPr lang="en-CA" sz="1000" b="0" baseline="0">
              <a:solidFill>
                <a:schemeClr val="bg1"/>
              </a:solidFill>
            </a:rPr>
            <a:t> this is the desired trial price (column K9)</a:t>
          </a: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="1" baseline="0">
              <a:solidFill>
                <a:srgbClr val="FFFF00"/>
              </a:solidFill>
            </a:rPr>
            <a:t>Input the Amount </a:t>
          </a:r>
          <a:r>
            <a:rPr lang="en-CA" sz="1000" b="0" baseline="0">
              <a:solidFill>
                <a:schemeClr val="bg1"/>
              </a:solidFill>
            </a:rPr>
            <a:t>to be trial priced in Column L9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Product Category 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- select if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Beer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,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Ready to Drink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,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Wine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,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Spirit</a:t>
          </a:r>
          <a:endParaRPr lang="en-CA" sz="1100">
            <a:solidFill>
              <a:srgbClr val="FFFF00"/>
            </a:solidFill>
            <a:effectLst/>
          </a:endParaRPr>
        </a:p>
        <a:p>
          <a:pPr marL="1085850" lvl="2" indent="-171450">
            <a:buFont typeface="Arial" panose="020B0604020202020204" pitchFamily="34" charset="0"/>
            <a:buChar char="•"/>
          </a:pPr>
          <a:endParaRPr lang="en-CA" sz="500" b="0" baseline="0">
            <a:solidFill>
              <a:schemeClr val="bg1"/>
            </a:solidFill>
          </a:endParaRPr>
        </a:p>
        <a:p>
          <a:pPr marL="1085850" lvl="2" indent="-171450" eaLnBrk="1" fontAlgn="auto" latinLnBrk="0" hangingPunct="1">
            <a:buFont typeface="Wingdings" panose="05000000000000000000" pitchFamily="2" charset="2"/>
            <a:buChar char="v"/>
          </a:pPr>
          <a:r>
            <a:rPr lang="en-CA" sz="1100" b="1" i="0" u="sng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PRIVATE DISTRIBUTION:</a:t>
          </a:r>
          <a:endParaRPr lang="en-CA" sz="1100">
            <a:solidFill>
              <a:srgbClr val="FFFF00"/>
            </a:solidFill>
            <a:effectLst/>
          </a:endParaRPr>
        </a:p>
        <a:p>
          <a:pPr marL="1085850" lvl="2" indent="-171450" eaLnBrk="1" fontAlgn="auto" latinLnBrk="0" hangingPunct="1">
            <a:buFont typeface="Arial" panose="020B0604020202020204" pitchFamily="34" charset="0"/>
            <a:buChar char="•"/>
          </a:pP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Select either </a:t>
          </a:r>
          <a:r>
            <a:rPr lang="en-CA" sz="11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Gross Price to Brewer </a:t>
          </a:r>
          <a:r>
            <a:rPr lang="en-CA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or </a:t>
          </a:r>
          <a:r>
            <a:rPr lang="en-CA" sz="11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Retail Price </a:t>
          </a:r>
          <a:r>
            <a:rPr lang="en-CA" sz="1100" b="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(column K9)</a:t>
          </a:r>
        </a:p>
        <a:p>
          <a:pPr marL="1085850" lvl="2" indent="-171450" eaLnBrk="1" fontAlgn="auto" latinLnBrk="0" hangingPunct="1">
            <a:buFont typeface="Arial" panose="020B0604020202020204" pitchFamily="34" charset="0"/>
            <a:buChar char="•"/>
          </a:pPr>
          <a:r>
            <a:rPr lang="en-CA" sz="11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Input the Amount </a:t>
          </a:r>
          <a:r>
            <a:rPr lang="en-CA" sz="1100" b="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to be trial priced in Column L9</a:t>
          </a:r>
        </a:p>
        <a:p>
          <a:pPr marL="1085850" lvl="2" indent="-171450" eaLnBrk="1" fontAlgn="auto" latinLnBrk="0" hangingPunct="1">
            <a:buFont typeface="Arial" panose="020B0604020202020204" pitchFamily="34" charset="0"/>
            <a:buChar char="•"/>
          </a:pPr>
          <a:r>
            <a:rPr lang="en-CA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Product Category 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- select if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Beer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or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Ready to Drink</a:t>
          </a:r>
          <a:r>
            <a:rPr lang="en-CA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</a:t>
          </a:r>
          <a:endParaRPr lang="en-CA" sz="1100">
            <a:solidFill>
              <a:schemeClr val="bg1"/>
            </a:solidFill>
            <a:effectLst/>
          </a:endParaRPr>
        </a:p>
        <a:p>
          <a:pPr marL="1085850" lvl="2" indent="-171450">
            <a:buFont typeface="Arial" panose="020B0604020202020204" pitchFamily="34" charset="0"/>
            <a:buChar char="•"/>
          </a:pPr>
          <a:endParaRPr lang="en-CA" sz="500" b="0" baseline="0">
            <a:solidFill>
              <a:schemeClr val="bg1"/>
            </a:solidFill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lang="en-CA" sz="1100" b="1" u="sng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Step 3:</a:t>
          </a:r>
          <a:endParaRPr lang="en-CA" sz="1100" b="1">
            <a:solidFill>
              <a:schemeClr val="bg1"/>
            </a:solidFill>
            <a:effectLst/>
          </a:endParaRPr>
        </a:p>
        <a:p>
          <a:pPr marL="628650" marR="0" lvl="1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§"/>
            <a:tabLst/>
            <a:defRPr/>
          </a:pPr>
          <a:r>
            <a:rPr lang="en-CA" sz="11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Fill in the Product information</a:t>
          </a:r>
          <a:endParaRPr lang="en-CA" sz="1100" b="1">
            <a:solidFill>
              <a:srgbClr val="FFFF00"/>
            </a:solidFill>
            <a:effectLst/>
          </a:endParaRP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="1" baseline="0">
              <a:solidFill>
                <a:schemeClr val="bg1"/>
              </a:solidFill>
            </a:rPr>
            <a:t>Sub-type</a:t>
          </a:r>
          <a:r>
            <a:rPr lang="en-CA" sz="1000" baseline="0">
              <a:solidFill>
                <a:schemeClr val="bg1"/>
              </a:solidFill>
            </a:rPr>
            <a:t> - select the appropriate sub-type of the Category</a:t>
          </a: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="1" baseline="0">
              <a:solidFill>
                <a:schemeClr val="bg1"/>
              </a:solidFill>
            </a:rPr>
            <a:t>Micro Produced </a:t>
          </a:r>
          <a:r>
            <a:rPr lang="en-CA" sz="1000" baseline="0">
              <a:solidFill>
                <a:schemeClr val="bg1"/>
              </a:solidFill>
            </a:rPr>
            <a:t>- answer '</a:t>
          </a:r>
          <a:r>
            <a:rPr lang="en-CA" sz="1000" baseline="0">
              <a:solidFill>
                <a:srgbClr val="FFFF00"/>
              </a:solidFill>
            </a:rPr>
            <a:t>Yes'</a:t>
          </a:r>
          <a:r>
            <a:rPr lang="en-CA" sz="1000" baseline="0">
              <a:solidFill>
                <a:schemeClr val="bg1"/>
              </a:solidFill>
            </a:rPr>
            <a:t> or '</a:t>
          </a:r>
          <a:r>
            <a:rPr lang="en-CA" sz="1000" baseline="0">
              <a:solidFill>
                <a:srgbClr val="FFFF00"/>
              </a:solidFill>
            </a:rPr>
            <a:t>No</a:t>
          </a:r>
          <a:r>
            <a:rPr lang="en-CA" sz="1000" baseline="0">
              <a:solidFill>
                <a:schemeClr val="bg1"/>
              </a:solidFill>
            </a:rPr>
            <a:t>'. Based on supplier's annual declaration of Production that has been approved by MBLL</a:t>
          </a: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="1" baseline="0">
              <a:solidFill>
                <a:schemeClr val="bg1"/>
              </a:solidFill>
            </a:rPr>
            <a:t>Certificate of Origin (MBLL Distributed only) </a:t>
          </a:r>
          <a:r>
            <a:rPr lang="en-CA" sz="1000" baseline="0">
              <a:solidFill>
                <a:schemeClr val="bg1"/>
              </a:solidFill>
            </a:rPr>
            <a:t>- Submitted yearly for preferred customs rates stating the Country of Origin, from select countries. </a:t>
          </a:r>
        </a:p>
        <a:p>
          <a:pPr marL="1543050" lvl="3" indent="-171450">
            <a:buFont typeface="Courier New" panose="02070309020205020404" pitchFamily="49" charset="0"/>
            <a:buChar char="o"/>
          </a:pPr>
          <a:r>
            <a:rPr lang="en-CA" sz="1000" baseline="0">
              <a:solidFill>
                <a:schemeClr val="bg1"/>
              </a:solidFill>
            </a:rPr>
            <a:t>Answer </a:t>
          </a:r>
          <a:r>
            <a:rPr lang="en-CA" sz="1000" baseline="0">
              <a:solidFill>
                <a:srgbClr val="FFFF00"/>
              </a:solidFill>
            </a:rPr>
            <a:t>No</a:t>
          </a:r>
          <a:r>
            <a:rPr lang="en-CA" sz="1000" baseline="0">
              <a:solidFill>
                <a:schemeClr val="bg1"/>
              </a:solidFill>
            </a:rPr>
            <a:t> if product is shipping domestically. Answer '</a:t>
          </a:r>
          <a:r>
            <a:rPr lang="en-CA" sz="1000" baseline="0">
              <a:solidFill>
                <a:srgbClr val="FFFF00"/>
              </a:solidFill>
            </a:rPr>
            <a:t>Yes</a:t>
          </a:r>
          <a:r>
            <a:rPr lang="en-CA" sz="1000" baseline="0">
              <a:solidFill>
                <a:schemeClr val="bg1"/>
              </a:solidFill>
            </a:rPr>
            <a:t>' if COO is already submitted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"Is this a Gift Pack?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-  answer '</a:t>
          </a:r>
          <a:r>
            <a:rPr lang="en-CA" sz="10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Yes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'if the product has a gift component or '</a:t>
          </a:r>
          <a:r>
            <a:rPr lang="en-CA" sz="10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No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' if no gift pack component</a:t>
          </a:r>
        </a:p>
        <a:p>
          <a:pPr marL="154305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lang="en-CA" sz="1000">
              <a:solidFill>
                <a:schemeClr val="bg1"/>
              </a:solidFill>
              <a:effectLst/>
            </a:rPr>
            <a:t>If </a:t>
          </a:r>
          <a:r>
            <a:rPr lang="en-CA" sz="1000" b="1">
              <a:solidFill>
                <a:srgbClr val="FFFF00"/>
              </a:solidFill>
              <a:effectLst/>
            </a:rPr>
            <a:t>'Yes'</a:t>
          </a:r>
          <a:r>
            <a:rPr lang="en-CA" sz="1000">
              <a:solidFill>
                <a:schemeClr val="bg1"/>
              </a:solidFill>
              <a:effectLst/>
            </a:rPr>
            <a:t> - enter the </a:t>
          </a:r>
          <a:r>
            <a:rPr lang="en-CA" sz="1000" b="1">
              <a:solidFill>
                <a:srgbClr val="FFFF00"/>
              </a:solidFill>
              <a:effectLst/>
            </a:rPr>
            <a:t>'Add-On Cost per unit </a:t>
          </a:r>
          <a:r>
            <a:rPr lang="en-CA" sz="1000">
              <a:solidFill>
                <a:schemeClr val="bg1"/>
              </a:solidFill>
              <a:effectLst/>
            </a:rPr>
            <a:t>(</a:t>
          </a:r>
          <a:r>
            <a:rPr lang="en-CA" sz="1000" b="1" i="1">
              <a:solidFill>
                <a:schemeClr val="accent5">
                  <a:lumMod val="20000"/>
                  <a:lumOff val="80000"/>
                </a:schemeClr>
              </a:solidFill>
              <a:effectLst/>
            </a:rPr>
            <a:t>note that Add-on</a:t>
          </a:r>
          <a:r>
            <a:rPr lang="en-CA" sz="1000" b="1" i="1" baseline="0">
              <a:solidFill>
                <a:schemeClr val="accent5">
                  <a:lumMod val="20000"/>
                  <a:lumOff val="80000"/>
                </a:schemeClr>
              </a:solidFill>
              <a:effectLst/>
            </a:rPr>
            <a:t> cost per case cannot be higher than 49% of the Final Case Cost).</a:t>
          </a:r>
          <a:endParaRPr lang="en-CA" sz="1000" b="1" i="1">
            <a:solidFill>
              <a:schemeClr val="accent5">
                <a:lumMod val="20000"/>
                <a:lumOff val="80000"/>
              </a:schemeClr>
            </a:solidFill>
            <a:effectLst/>
          </a:endParaRP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aseline="0">
              <a:solidFill>
                <a:schemeClr val="bg1"/>
              </a:solidFill>
            </a:rPr>
            <a:t>Enter the Individual container size per liter</a:t>
          </a: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aseline="0">
              <a:solidFill>
                <a:schemeClr val="bg1"/>
              </a:solidFill>
            </a:rPr>
            <a:t>Enter </a:t>
          </a:r>
          <a:r>
            <a:rPr lang="en-CA" sz="1000" b="1" baseline="0">
              <a:solidFill>
                <a:schemeClr val="bg1"/>
              </a:solidFill>
            </a:rPr>
            <a:t>selling units or selling pack </a:t>
          </a:r>
          <a:r>
            <a:rPr lang="en-CA" sz="1000" baseline="0">
              <a:solidFill>
                <a:schemeClr val="bg1"/>
              </a:solidFill>
            </a:rPr>
            <a:t>(example a pack of 6x355 pack enter 6, </a:t>
          </a:r>
          <a:r>
            <a:rPr lang="en-CA" sz="1000" b="1" baseline="0">
              <a:solidFill>
                <a:schemeClr val="bg1"/>
              </a:solidFill>
            </a:rPr>
            <a:t>single units enter 1</a:t>
          </a:r>
          <a:r>
            <a:rPr lang="en-CA" sz="1000" baseline="0">
              <a:solidFill>
                <a:schemeClr val="bg1"/>
              </a:solidFill>
            </a:rPr>
            <a:t>)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Enter Container type (if applicable)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Enter the Number of Selling Units or Selling Package in a case (Case Size)</a:t>
          </a:r>
          <a:endParaRPr lang="en-CA" sz="1000">
            <a:solidFill>
              <a:schemeClr val="bg1"/>
            </a:solidFill>
            <a:effectLst/>
          </a:endParaRP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Enter the Alcohol %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Product Ship point location (MBLL Distributed) - where MBLL is sourcing the product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Freight Zone - choose the appropriate freight zone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Duty type:</a:t>
          </a:r>
        </a:p>
        <a:p>
          <a:pPr marL="154305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Customs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- MBLL to pick-up outside of Canada</a:t>
          </a:r>
        </a:p>
        <a:p>
          <a:pPr marL="154305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Excise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- MBLL to pick-up within Canada, MBLL to clear Federal excise tax</a:t>
          </a:r>
        </a:p>
        <a:p>
          <a:pPr marL="154305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Duty Paid</a:t>
          </a:r>
          <a:r>
            <a:rPr lang="en-CA" sz="10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- MBLL to pick-up within Canada and Supplier to clear federal excise tax. </a:t>
          </a:r>
          <a:r>
            <a:rPr lang="en-CA" sz="1000" baseline="0">
              <a:solidFill>
                <a:schemeClr val="accent2">
                  <a:lumMod val="40000"/>
                  <a:lumOff val="60000"/>
                </a:schemeClr>
              </a:solidFill>
              <a:effectLst/>
              <a:latin typeface="+mn-lt"/>
              <a:ea typeface="+mn-ea"/>
              <a:cs typeface="+mn-cs"/>
            </a:rPr>
            <a:t>All privately distributed products are Duty Paid and all Taproom only products are Duty Paid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="0">
              <a:solidFill>
                <a:schemeClr val="bg1"/>
              </a:solidFill>
              <a:effectLst/>
            </a:rPr>
            <a:t>Enter</a:t>
          </a:r>
          <a:r>
            <a:rPr lang="en-CA" sz="1000" b="1">
              <a:solidFill>
                <a:schemeClr val="bg1"/>
              </a:solidFill>
              <a:effectLst/>
            </a:rPr>
            <a:t> Currency</a:t>
          </a:r>
          <a:r>
            <a:rPr lang="en-CA" sz="1000" b="1" baseline="0">
              <a:solidFill>
                <a:schemeClr val="bg1"/>
              </a:solidFill>
              <a:effectLst/>
            </a:rPr>
            <a:t> - </a:t>
          </a:r>
          <a:r>
            <a:rPr lang="en-CA" sz="1000" baseline="0">
              <a:solidFill>
                <a:schemeClr val="bg1"/>
              </a:solidFill>
              <a:effectLst/>
            </a:rPr>
            <a:t>select from Drop down list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1" baseline="0">
              <a:solidFill>
                <a:srgbClr val="FFC000"/>
              </a:solidFill>
              <a:effectLst/>
            </a:rPr>
            <a:t>PLEASE NOTE: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0" baseline="0">
              <a:solidFill>
                <a:srgbClr val="FFFF00"/>
              </a:solidFill>
              <a:effectLst/>
            </a:rPr>
            <a:t>*</a:t>
          </a:r>
          <a:r>
            <a:rPr lang="en-CA" sz="1000" b="1" baseline="0">
              <a:solidFill>
                <a:srgbClr val="FFFF00"/>
              </a:solidFill>
              <a:effectLst/>
            </a:rPr>
            <a:t>Fortified Wine </a:t>
          </a:r>
          <a:r>
            <a:rPr lang="en-CA" sz="1000" baseline="0">
              <a:solidFill>
                <a:schemeClr val="bg1"/>
              </a:solidFill>
              <a:effectLst/>
            </a:rPr>
            <a:t>- wines that had additional alcohol added to them usually a distilled grape-based spirit such as brandy to create a new, sometimes sweeter wine with higher alcohol level.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</a:rPr>
            <a:t>*One-Pour Cocktail </a:t>
          </a:r>
          <a:r>
            <a:rPr lang="en-CA" sz="1000" baseline="0">
              <a:solidFill>
                <a:schemeClr val="bg1"/>
              </a:solidFill>
              <a:effectLst/>
            </a:rPr>
            <a:t>- Ready to Drink with higher than 7% alcohol volume up to 14.5% alcohol.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</a:rPr>
            <a:t>*Cost of Service -System Admin Fee </a:t>
          </a:r>
          <a:r>
            <a:rPr lang="en-CA" sz="1000" b="1" baseline="0">
              <a:solidFill>
                <a:schemeClr val="bg1"/>
              </a:solidFill>
              <a:effectLst/>
            </a:rPr>
            <a:t>- </a:t>
          </a:r>
          <a:r>
            <a:rPr lang="en-CA" sz="1000" baseline="0">
              <a:solidFill>
                <a:schemeClr val="bg1"/>
              </a:solidFill>
              <a:effectLst/>
            </a:rPr>
            <a:t>applicable for all products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</a:rPr>
            <a:t>* Cost of Service - Warehouse Fee</a:t>
          </a:r>
          <a:r>
            <a:rPr lang="en-CA" sz="1000" b="0" baseline="0">
              <a:solidFill>
                <a:srgbClr val="FFFF00"/>
              </a:solidFill>
              <a:effectLst/>
            </a:rPr>
            <a:t> </a:t>
          </a:r>
          <a:r>
            <a:rPr lang="en-CA" sz="1000" baseline="0">
              <a:solidFill>
                <a:schemeClr val="bg1"/>
              </a:solidFill>
              <a:effectLst/>
            </a:rPr>
            <a:t>- is only applicable for MBLL Distributed products.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</a:rPr>
            <a:t>*Empties Handling Fee </a:t>
          </a:r>
          <a:r>
            <a:rPr lang="en-CA" sz="1000" baseline="0">
              <a:solidFill>
                <a:schemeClr val="bg1"/>
              </a:solidFill>
              <a:effectLst/>
            </a:rPr>
            <a:t>is applicable to  products with Container Deposits.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CA" sz="1000" baseline="0">
            <a:solidFill>
              <a:schemeClr val="bg1"/>
            </a:solidFill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CA" sz="1000" baseline="0">
            <a:solidFill>
              <a:schemeClr val="bg1"/>
            </a:solidFill>
            <a:effectLst/>
          </a:endParaRP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endParaRPr lang="en-CA" sz="500" b="1" i="1" baseline="0">
            <a:solidFill>
              <a:schemeClr val="bg1"/>
            </a:solidFill>
            <a:effectLst/>
          </a:endParaRPr>
        </a:p>
        <a:p>
          <a:pPr marL="1085850" lvl="2" indent="-171450">
            <a:buFont typeface="Arial" panose="020B0604020202020204" pitchFamily="34" charset="0"/>
            <a:buChar char="•"/>
          </a:pPr>
          <a:endParaRPr lang="en-CA" sz="1100" baseline="0">
            <a:solidFill>
              <a:schemeClr val="bg1"/>
            </a:solidFill>
          </a:endParaRPr>
        </a:p>
      </xdr:txBody>
    </xdr:sp>
    <xdr:clientData/>
  </xdr:twoCellAnchor>
  <xdr:twoCellAnchor>
    <xdr:from>
      <xdr:col>11</xdr:col>
      <xdr:colOff>1162050</xdr:colOff>
      <xdr:row>3</xdr:row>
      <xdr:rowOff>95250</xdr:rowOff>
    </xdr:from>
    <xdr:to>
      <xdr:col>13</xdr:col>
      <xdr:colOff>120650</xdr:colOff>
      <xdr:row>3</xdr:row>
      <xdr:rowOff>298450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D057AD5-9B70-78B1-F813-2E67BD622053}"/>
            </a:ext>
          </a:extLst>
        </xdr:cNvPr>
        <xdr:cNvSpPr/>
      </xdr:nvSpPr>
      <xdr:spPr>
        <a:xfrm>
          <a:off x="10331450" y="1035050"/>
          <a:ext cx="660400" cy="203200"/>
        </a:xfrm>
        <a:prstGeom prst="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CA" sz="1100" b="1" kern="1200"/>
            <a:t>2026-05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www.mbllpartners.ca/liquor-partners/liquor-agents-supplier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9EC5DE-2A0E-418F-B45C-21C2FE98C7B3}">
  <sheetPr>
    <tabColor rgb="FFFF0000"/>
  </sheetPr>
  <dimension ref="A1:AA42"/>
  <sheetViews>
    <sheetView showGridLines="0" tabSelected="1" zoomScaleNormal="100" workbookViewId="0">
      <selection activeCell="D9" sqref="D9:E9"/>
    </sheetView>
  </sheetViews>
  <sheetFormatPr defaultColWidth="0" defaultRowHeight="14.5" zeroHeight="1" x14ac:dyDescent="0.35"/>
  <cols>
    <col min="1" max="2" width="2.1796875" customWidth="1"/>
    <col min="3" max="3" width="3.6328125" customWidth="1"/>
    <col min="4" max="4" width="40.6328125" customWidth="1"/>
    <col min="5" max="5" width="34.1796875" customWidth="1"/>
    <col min="6" max="6" width="3.6328125" customWidth="1"/>
    <col min="7" max="9" width="2.1796875" customWidth="1"/>
    <col min="10" max="10" width="4.6328125" customWidth="1"/>
    <col min="11" max="11" width="33.6328125" customWidth="1"/>
    <col min="12" max="12" width="19.7265625" customWidth="1"/>
    <col min="13" max="13" width="4.6328125" customWidth="1"/>
    <col min="14" max="15" width="2.1796875" customWidth="1"/>
    <col min="16" max="27" width="8.7265625" customWidth="1"/>
    <col min="28" max="16384" width="8.7265625" hidden="1"/>
  </cols>
  <sheetData>
    <row r="1" spans="1:27" ht="12" customHeight="1" x14ac:dyDescent="0.35">
      <c r="A1" s="98"/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AA1" s="98"/>
    </row>
    <row r="2" spans="1:27" ht="32.5" x14ac:dyDescent="0.75">
      <c r="A2" s="98"/>
      <c r="B2" s="286" t="s">
        <v>119</v>
      </c>
      <c r="C2" s="286"/>
      <c r="D2" s="286"/>
      <c r="E2" s="286"/>
      <c r="F2" s="286"/>
      <c r="G2" s="286"/>
      <c r="H2" s="286"/>
      <c r="I2" s="286"/>
      <c r="J2" s="286"/>
      <c r="K2" s="286"/>
      <c r="L2" s="286"/>
      <c r="M2" s="286"/>
      <c r="N2" s="286"/>
      <c r="O2" s="98"/>
      <c r="AA2" s="98"/>
    </row>
    <row r="3" spans="1:27" ht="29.5" x14ac:dyDescent="0.35">
      <c r="A3" s="98"/>
      <c r="B3" s="287" t="s">
        <v>8</v>
      </c>
      <c r="C3" s="287"/>
      <c r="D3" s="287"/>
      <c r="E3" s="287"/>
      <c r="F3" s="287"/>
      <c r="G3" s="287"/>
      <c r="H3" s="287"/>
      <c r="I3" s="287"/>
      <c r="J3" s="287"/>
      <c r="K3" s="287"/>
      <c r="L3" s="287"/>
      <c r="M3" s="287"/>
      <c r="N3" s="287"/>
      <c r="O3" s="98"/>
      <c r="AA3" s="98"/>
    </row>
    <row r="4" spans="1:27" ht="26" x14ac:dyDescent="0.6">
      <c r="A4" s="98"/>
      <c r="B4" s="288" t="s">
        <v>9</v>
      </c>
      <c r="C4" s="288"/>
      <c r="D4" s="288"/>
      <c r="E4" s="288"/>
      <c r="F4" s="288"/>
      <c r="G4" s="288"/>
      <c r="H4" s="288"/>
      <c r="I4" s="288"/>
      <c r="J4" s="288"/>
      <c r="K4" s="288"/>
      <c r="L4" s="288"/>
      <c r="M4" s="288"/>
      <c r="N4" s="288"/>
      <c r="O4" s="98"/>
      <c r="AA4" s="98"/>
    </row>
    <row r="5" spans="1:27" ht="12" customHeight="1" thickBot="1" x14ac:dyDescent="0.65">
      <c r="A5" s="98"/>
      <c r="B5" s="185"/>
      <c r="C5" s="233"/>
      <c r="D5" s="185"/>
      <c r="E5" s="185"/>
      <c r="F5" s="185"/>
      <c r="G5" s="185"/>
      <c r="H5" s="185"/>
      <c r="I5" s="185"/>
      <c r="J5" s="185"/>
      <c r="K5" s="185"/>
      <c r="L5" s="185"/>
      <c r="M5" s="185"/>
      <c r="N5" s="185"/>
      <c r="O5" s="98"/>
      <c r="AA5" s="98"/>
    </row>
    <row r="6" spans="1:27" ht="15" thickBot="1" x14ac:dyDescent="0.4">
      <c r="A6" s="98"/>
      <c r="B6" s="234"/>
      <c r="C6" s="235"/>
      <c r="D6" s="235"/>
      <c r="E6" s="235"/>
      <c r="F6" s="235"/>
      <c r="G6" s="236"/>
      <c r="H6" s="185"/>
      <c r="I6" s="234"/>
      <c r="J6" s="235"/>
      <c r="K6" s="235"/>
      <c r="L6" s="235"/>
      <c r="M6" s="235"/>
      <c r="N6" s="236"/>
      <c r="O6" s="98"/>
      <c r="AA6" s="98"/>
    </row>
    <row r="7" spans="1:27" ht="15" thickBot="1" x14ac:dyDescent="0.4">
      <c r="A7" s="98"/>
      <c r="B7" s="186"/>
      <c r="C7" s="237"/>
      <c r="D7" s="238"/>
      <c r="E7" s="238"/>
      <c r="F7" s="239"/>
      <c r="G7" s="184"/>
      <c r="H7" s="185"/>
      <c r="I7" s="186"/>
      <c r="J7" s="240"/>
      <c r="K7" s="241"/>
      <c r="L7" s="241"/>
      <c r="M7" s="242"/>
      <c r="N7" s="184"/>
      <c r="O7" s="98"/>
      <c r="AA7" s="98"/>
    </row>
    <row r="8" spans="1:27" ht="18.5" x14ac:dyDescent="0.45">
      <c r="A8" s="98"/>
      <c r="B8" s="186"/>
      <c r="C8" s="243"/>
      <c r="D8" s="289" t="s">
        <v>149</v>
      </c>
      <c r="E8" s="290"/>
      <c r="F8" s="244"/>
      <c r="G8" s="184"/>
      <c r="H8" s="185"/>
      <c r="I8" s="186"/>
      <c r="J8" s="245"/>
      <c r="K8" s="291" t="s">
        <v>150</v>
      </c>
      <c r="L8" s="292"/>
      <c r="M8" s="246"/>
      <c r="N8" s="184"/>
      <c r="O8" s="98"/>
      <c r="AA8" s="98"/>
    </row>
    <row r="9" spans="1:27" ht="25.5" customHeight="1" thickBot="1" x14ac:dyDescent="0.5">
      <c r="A9" s="98"/>
      <c r="B9" s="99"/>
      <c r="C9" s="93"/>
      <c r="D9" s="281"/>
      <c r="E9" s="282"/>
      <c r="F9" s="94"/>
      <c r="G9" s="101"/>
      <c r="H9" s="98"/>
      <c r="I9" s="99"/>
      <c r="J9" s="88"/>
      <c r="K9" s="174"/>
      <c r="L9" s="175"/>
      <c r="M9" s="92"/>
      <c r="N9" s="101"/>
      <c r="O9" s="98"/>
      <c r="AA9" s="98"/>
    </row>
    <row r="10" spans="1:27" ht="15" thickBot="1" x14ac:dyDescent="0.4">
      <c r="A10" s="98"/>
      <c r="B10" s="99"/>
      <c r="C10" s="95"/>
      <c r="D10" s="96"/>
      <c r="E10" s="96"/>
      <c r="F10" s="97"/>
      <c r="G10" s="101"/>
      <c r="H10" s="98"/>
      <c r="I10" s="99"/>
      <c r="J10" s="89"/>
      <c r="K10" s="90"/>
      <c r="L10" s="90"/>
      <c r="M10" s="91"/>
      <c r="N10" s="101"/>
      <c r="O10" s="98"/>
      <c r="AA10" s="98"/>
    </row>
    <row r="11" spans="1:27" ht="15" thickBot="1" x14ac:dyDescent="0.4">
      <c r="A11" s="98"/>
      <c r="B11" s="99"/>
      <c r="C11" s="100"/>
      <c r="D11" s="100"/>
      <c r="E11" s="100"/>
      <c r="F11" s="100"/>
      <c r="G11" s="101"/>
      <c r="H11" s="98"/>
      <c r="I11" s="99"/>
      <c r="J11" s="100"/>
      <c r="K11" s="100"/>
      <c r="L11" s="100"/>
      <c r="M11" s="100"/>
      <c r="N11" s="101"/>
      <c r="O11" s="98"/>
      <c r="AA11" s="98"/>
    </row>
    <row r="12" spans="1:27" ht="18.5" x14ac:dyDescent="0.45">
      <c r="A12" s="98"/>
      <c r="B12" s="99"/>
      <c r="C12" s="278" t="s">
        <v>120</v>
      </c>
      <c r="D12" s="279"/>
      <c r="E12" s="279"/>
      <c r="F12" s="280"/>
      <c r="G12" s="101"/>
      <c r="H12" s="98"/>
      <c r="I12" s="99"/>
      <c r="J12" s="283" t="s">
        <v>121</v>
      </c>
      <c r="K12" s="284"/>
      <c r="L12" s="284"/>
      <c r="M12" s="285"/>
      <c r="N12" s="101"/>
      <c r="O12" s="98"/>
      <c r="AA12" s="98"/>
    </row>
    <row r="13" spans="1:27" x14ac:dyDescent="0.35">
      <c r="A13" s="98"/>
      <c r="B13" s="99"/>
      <c r="C13" s="105"/>
      <c r="D13" s="173"/>
      <c r="E13" s="106"/>
      <c r="F13" s="107"/>
      <c r="G13" s="101"/>
      <c r="H13" s="98"/>
      <c r="I13" s="99"/>
      <c r="J13" s="176"/>
      <c r="K13" s="163"/>
      <c r="L13" s="163"/>
      <c r="M13" s="177"/>
      <c r="N13" s="184"/>
      <c r="O13" s="185"/>
      <c r="AA13" s="98"/>
    </row>
    <row r="14" spans="1:27" x14ac:dyDescent="0.35">
      <c r="A14" s="98"/>
      <c r="B14" s="99"/>
      <c r="C14" s="105"/>
      <c r="D14" s="170" t="s">
        <v>0</v>
      </c>
      <c r="E14" s="169"/>
      <c r="F14" s="107"/>
      <c r="G14" s="101"/>
      <c r="H14" s="98"/>
      <c r="I14" s="99"/>
      <c r="J14" s="176"/>
      <c r="K14" s="178" t="str">
        <f>IF(D9="","",IF(E29="","",IF(D9="PRIVATE DISTRIBUTION","",IF(AND(D9="MBLL DISTRIBUTION",E29="CAD"),"","Base Unit Price - "&amp;E29))))</f>
        <v/>
      </c>
      <c r="L14" s="179" t="str">
        <f>IFERROR(ROUND(IF(D9="","",IF(OR(E29="",E29="CAD"),"",Calculations!F5)),4),"")</f>
        <v/>
      </c>
      <c r="M14" s="177"/>
      <c r="N14" s="184"/>
      <c r="O14" s="185"/>
      <c r="AA14" s="98"/>
    </row>
    <row r="15" spans="1:27" x14ac:dyDescent="0.35">
      <c r="A15" s="98"/>
      <c r="B15" s="99"/>
      <c r="C15" s="105"/>
      <c r="D15" s="171" t="s">
        <v>1</v>
      </c>
      <c r="E15" s="169"/>
      <c r="F15" s="107"/>
      <c r="G15" s="101"/>
      <c r="H15" s="98"/>
      <c r="I15" s="99"/>
      <c r="J15" s="176"/>
      <c r="K15" s="178" t="str">
        <f>IF(D9="","","Base Unit Price - CAD")</f>
        <v/>
      </c>
      <c r="L15" s="179" t="str">
        <f>IFERROR(IF(E14="","",SUM(Calculations!F5*Calculations!H5,0)),"")</f>
        <v/>
      </c>
      <c r="M15" s="177"/>
      <c r="N15" s="184"/>
      <c r="O15" s="185"/>
      <c r="AA15" s="98"/>
    </row>
    <row r="16" spans="1:27" x14ac:dyDescent="0.35">
      <c r="A16" s="98"/>
      <c r="B16" s="99"/>
      <c r="C16" s="105"/>
      <c r="D16" s="170" t="s">
        <v>2</v>
      </c>
      <c r="E16" s="169"/>
      <c r="F16" s="107"/>
      <c r="G16" s="101"/>
      <c r="H16" s="98"/>
      <c r="I16" s="99"/>
      <c r="J16" s="176"/>
      <c r="K16" s="178" t="str">
        <f>IF(D9="MBLL DISTRIBUTION","Standard Freight rate/litre","")</f>
        <v/>
      </c>
      <c r="L16" s="180" t="str">
        <f>IFERROR(IF(D9="PRIVATE Distribution","",Calculations!T5),"")</f>
        <v/>
      </c>
      <c r="M16" s="177"/>
      <c r="N16" s="184"/>
      <c r="O16" s="185"/>
      <c r="AA16" s="98"/>
    </row>
    <row r="17" spans="1:27" x14ac:dyDescent="0.35">
      <c r="A17" s="98"/>
      <c r="B17" s="99"/>
      <c r="C17" s="105"/>
      <c r="D17" s="170" t="str">
        <f>IF(OR(D9="",D9="PRIVATE Distribution"),"","Certificate of Origin")</f>
        <v/>
      </c>
      <c r="E17" s="168"/>
      <c r="F17" s="107"/>
      <c r="G17" s="101"/>
      <c r="H17" s="98"/>
      <c r="I17" s="99"/>
      <c r="J17" s="176"/>
      <c r="K17" s="178" t="str">
        <f>IF(D9="MBLL DISTRIBUTION","Excise Duty","")</f>
        <v/>
      </c>
      <c r="L17" s="179" t="str">
        <f>IF(D9="PRIVATE Distribution","",Calculations!V5)</f>
        <v/>
      </c>
      <c r="M17" s="177"/>
      <c r="N17" s="184"/>
      <c r="O17" s="185"/>
      <c r="AA17" s="98"/>
    </row>
    <row r="18" spans="1:27" x14ac:dyDescent="0.35">
      <c r="A18" s="98"/>
      <c r="B18" s="99"/>
      <c r="C18" s="105"/>
      <c r="D18" s="170" t="str">
        <f>IF(D9="MBLL Distribution","Is this a Gift Pack?","")</f>
        <v/>
      </c>
      <c r="E18" s="168"/>
      <c r="F18" s="107"/>
      <c r="G18" s="101"/>
      <c r="H18" s="98"/>
      <c r="I18" s="99"/>
      <c r="J18" s="176"/>
      <c r="K18" s="178" t="str">
        <f>IF(AND(D9="MBLL DISTRIBUTION",E28="Customs"),"Customs Duty","")</f>
        <v/>
      </c>
      <c r="L18" s="179" t="str">
        <f>IF(OR(E26="",E26="Canada"),"",Calculations!U5)</f>
        <v/>
      </c>
      <c r="M18" s="177"/>
      <c r="N18" s="184"/>
      <c r="O18" s="185"/>
      <c r="AA18" s="98"/>
    </row>
    <row r="19" spans="1:27" x14ac:dyDescent="0.35">
      <c r="A19" s="98"/>
      <c r="B19" s="99"/>
      <c r="C19" s="105"/>
      <c r="D19" s="220" t="str">
        <f>IF(D18="","","**(Yes only if products have gift components)**")</f>
        <v/>
      </c>
      <c r="E19" s="224"/>
      <c r="F19" s="107"/>
      <c r="G19" s="101"/>
      <c r="H19" s="98"/>
      <c r="I19" s="99"/>
      <c r="J19" s="176"/>
      <c r="K19" s="178"/>
      <c r="L19" s="179"/>
      <c r="M19" s="177"/>
      <c r="N19" s="184"/>
      <c r="O19" s="185"/>
      <c r="AA19" s="98"/>
    </row>
    <row r="20" spans="1:27" x14ac:dyDescent="0.35">
      <c r="A20" s="98"/>
      <c r="B20" s="99"/>
      <c r="C20" s="105"/>
      <c r="D20" s="170" t="s">
        <v>3</v>
      </c>
      <c r="E20" s="166"/>
      <c r="F20" s="107"/>
      <c r="G20" s="101"/>
      <c r="H20" s="98"/>
      <c r="I20" s="99"/>
      <c r="J20" s="176"/>
      <c r="K20" s="178" t="str">
        <f>IF(D9="","","Markup")</f>
        <v/>
      </c>
      <c r="L20" s="179" t="str">
        <f>IFERROR(IF(E14="","",Calculations!AD5),"")</f>
        <v/>
      </c>
      <c r="M20" s="177"/>
      <c r="N20" s="184"/>
      <c r="O20" s="185"/>
      <c r="AA20" s="98"/>
    </row>
    <row r="21" spans="1:27" x14ac:dyDescent="0.35">
      <c r="A21" s="98"/>
      <c r="B21" s="99"/>
      <c r="C21" s="105"/>
      <c r="D21" s="170" t="s">
        <v>4</v>
      </c>
      <c r="E21" s="167"/>
      <c r="F21" s="107"/>
      <c r="G21" s="101"/>
      <c r="H21" s="98"/>
      <c r="I21" s="99"/>
      <c r="J21" s="176"/>
      <c r="K21" s="178" t="str">
        <f>IF(D9="","","Cost of Service - System Admin Fee")</f>
        <v/>
      </c>
      <c r="L21" s="179" t="str">
        <f>IFERROR(IF(E14="","",Calculations!AE5),"")</f>
        <v/>
      </c>
      <c r="M21" s="177"/>
      <c r="N21" s="184"/>
      <c r="O21" s="185"/>
      <c r="AA21" s="98"/>
    </row>
    <row r="22" spans="1:27" x14ac:dyDescent="0.35">
      <c r="A22" s="98"/>
      <c r="B22" s="99"/>
      <c r="C22" s="105"/>
      <c r="D22" s="172" t="str">
        <f>IF(E21&gt;1,"Total selling volume/liter","")</f>
        <v/>
      </c>
      <c r="E22" s="221" t="str">
        <f>IF(E21&gt;1,E20*E21,"")</f>
        <v/>
      </c>
      <c r="F22" s="107"/>
      <c r="G22" s="101"/>
      <c r="H22" s="98"/>
      <c r="I22" s="99"/>
      <c r="J22" s="176"/>
      <c r="K22" s="178" t="str">
        <f>IF(D9="MBLL DISTRIBUTION","Cost of Service - Warehouse Fee","")</f>
        <v/>
      </c>
      <c r="L22" s="179" t="str">
        <f>IFERROR(IF(D9="MBLL Distribution",Calculations!AF5,""),"")</f>
        <v/>
      </c>
      <c r="M22" s="177"/>
      <c r="N22" s="184"/>
      <c r="O22" s="185"/>
      <c r="AA22" s="98"/>
    </row>
    <row r="23" spans="1:27" x14ac:dyDescent="0.35">
      <c r="A23" s="98"/>
      <c r="B23" s="99"/>
      <c r="C23" s="105"/>
      <c r="D23" s="170" t="str">
        <f>IF(D9="MBLL Distribution","Selling Units per Case (Case Size)","")</f>
        <v/>
      </c>
      <c r="E23" s="225"/>
      <c r="F23" s="107"/>
      <c r="G23" s="101"/>
      <c r="H23" s="98"/>
      <c r="I23" s="99"/>
      <c r="J23" s="176"/>
      <c r="K23" s="178" t="str">
        <f>IF(E14="Beer","Empties Handling Fee","")</f>
        <v/>
      </c>
      <c r="L23" s="179" t="str">
        <f>IF(E14="Beer",Calculations!Z5,"")</f>
        <v/>
      </c>
      <c r="M23" s="177"/>
      <c r="N23" s="184"/>
      <c r="O23" s="185"/>
      <c r="AA23" s="98"/>
    </row>
    <row r="24" spans="1:27" x14ac:dyDescent="0.35">
      <c r="A24" s="98"/>
      <c r="B24" s="99"/>
      <c r="C24" s="105"/>
      <c r="D24" s="222" t="str">
        <f>IF(E14="Beer","Container Type","")</f>
        <v/>
      </c>
      <c r="E24" s="225"/>
      <c r="F24" s="107"/>
      <c r="G24" s="101"/>
      <c r="H24" s="98"/>
      <c r="I24" s="99"/>
      <c r="J24" s="176"/>
      <c r="K24" s="178" t="str">
        <f>IF(E18="YES","Add-on Cost per unit","")</f>
        <v/>
      </c>
      <c r="L24" s="179" t="str">
        <f>IF(E31="","",IF(E18="YES",ROUND(E31,4),""))</f>
        <v/>
      </c>
      <c r="M24" s="177"/>
      <c r="N24" s="184"/>
      <c r="O24" s="185"/>
      <c r="AA24" s="98"/>
    </row>
    <row r="25" spans="1:27" x14ac:dyDescent="0.35">
      <c r="A25" s="98"/>
      <c r="B25" s="99"/>
      <c r="C25" s="105"/>
      <c r="D25" s="170" t="s">
        <v>5</v>
      </c>
      <c r="E25" s="226"/>
      <c r="F25" s="107"/>
      <c r="G25" s="101"/>
      <c r="H25" s="98"/>
      <c r="I25" s="99"/>
      <c r="J25" s="176"/>
      <c r="K25" s="178" t="str">
        <f>IF(E18="YES","Total Add-on Cost per Case","")</f>
        <v/>
      </c>
      <c r="L25" s="179" t="str">
        <f>IF(E31="","",IF(E18="YES",ROUND(SUM(L24*E23),4),""))</f>
        <v/>
      </c>
      <c r="M25" s="177"/>
      <c r="N25" s="184"/>
      <c r="O25" s="185"/>
      <c r="AA25" s="98"/>
    </row>
    <row r="26" spans="1:27" x14ac:dyDescent="0.35">
      <c r="A26" s="98"/>
      <c r="B26" s="99"/>
      <c r="C26" s="105"/>
      <c r="D26" s="170" t="str">
        <f>IF(D9="MBLL Distribution","Product Shipping Location","")</f>
        <v/>
      </c>
      <c r="E26" s="225"/>
      <c r="F26" s="107"/>
      <c r="G26" s="101"/>
      <c r="H26" s="98"/>
      <c r="I26" s="99"/>
      <c r="J26" s="176"/>
      <c r="K26" s="178"/>
      <c r="L26" s="163"/>
      <c r="M26" s="177"/>
      <c r="N26" s="184"/>
      <c r="O26" s="185"/>
      <c r="AA26" s="98"/>
    </row>
    <row r="27" spans="1:27" x14ac:dyDescent="0.35">
      <c r="A27" s="98"/>
      <c r="B27" s="99"/>
      <c r="C27" s="105"/>
      <c r="D27" s="172" t="str">
        <f>IF(D9="MBLL Distribution","Freight Zone","")</f>
        <v/>
      </c>
      <c r="E27" s="225"/>
      <c r="F27" s="107"/>
      <c r="G27" s="101"/>
      <c r="H27" s="98"/>
      <c r="I27" s="99"/>
      <c r="J27" s="176"/>
      <c r="K27" s="178"/>
      <c r="L27" s="163"/>
      <c r="M27" s="177"/>
      <c r="N27" s="184"/>
      <c r="O27" s="185"/>
      <c r="AA27" s="98"/>
    </row>
    <row r="28" spans="1:27" x14ac:dyDescent="0.35">
      <c r="A28" s="98"/>
      <c r="B28" s="99"/>
      <c r="C28" s="105"/>
      <c r="D28" s="170" t="s">
        <v>6</v>
      </c>
      <c r="E28" s="227"/>
      <c r="F28" s="107"/>
      <c r="G28" s="101"/>
      <c r="H28" s="98"/>
      <c r="I28" s="99"/>
      <c r="J28" s="176"/>
      <c r="K28" s="178"/>
      <c r="L28" s="163"/>
      <c r="M28" s="177"/>
      <c r="N28" s="184"/>
      <c r="O28" s="185"/>
      <c r="AA28" s="98"/>
    </row>
    <row r="29" spans="1:27" x14ac:dyDescent="0.35">
      <c r="A29" s="98"/>
      <c r="B29" s="99"/>
      <c r="C29" s="105"/>
      <c r="D29" s="170" t="s">
        <v>7</v>
      </c>
      <c r="E29" s="227"/>
      <c r="F29" s="107"/>
      <c r="G29" s="101"/>
      <c r="H29" s="98"/>
      <c r="I29" s="99"/>
      <c r="J29" s="176"/>
      <c r="K29" s="261"/>
      <c r="L29" s="261"/>
      <c r="M29" s="177"/>
      <c r="N29" s="184"/>
      <c r="O29" s="185"/>
      <c r="AA29" s="98"/>
    </row>
    <row r="30" spans="1:27" x14ac:dyDescent="0.35">
      <c r="A30" s="98"/>
      <c r="B30" s="99"/>
      <c r="C30" s="105"/>
      <c r="D30" s="173"/>
      <c r="E30" s="109"/>
      <c r="F30" s="107"/>
      <c r="G30" s="101"/>
      <c r="H30" s="98"/>
      <c r="I30" s="99"/>
      <c r="J30" s="275"/>
      <c r="K30" s="276"/>
      <c r="L30" s="276"/>
      <c r="M30" s="277"/>
      <c r="N30" s="184"/>
      <c r="O30" s="185"/>
      <c r="AA30" s="98"/>
    </row>
    <row r="31" spans="1:27" ht="16" x14ac:dyDescent="0.4">
      <c r="A31" s="98"/>
      <c r="B31" s="99"/>
      <c r="C31" s="105"/>
      <c r="D31" s="257" t="str">
        <f>IF(E18="YES","Total Add-on Cost per UNIT","")</f>
        <v/>
      </c>
      <c r="E31" s="263"/>
      <c r="F31" s="107"/>
      <c r="G31" s="101"/>
      <c r="H31" s="98"/>
      <c r="I31" s="99"/>
      <c r="J31" s="181"/>
      <c r="K31" s="182"/>
      <c r="L31" s="182"/>
      <c r="M31" s="183"/>
      <c r="N31" s="184"/>
      <c r="O31" s="185"/>
      <c r="AA31" s="98"/>
    </row>
    <row r="32" spans="1:27" x14ac:dyDescent="0.35">
      <c r="A32" s="98"/>
      <c r="B32" s="99"/>
      <c r="C32" s="110"/>
      <c r="D32" s="223"/>
      <c r="E32" s="111"/>
      <c r="F32" s="108"/>
      <c r="G32" s="101"/>
      <c r="H32" s="98"/>
      <c r="I32" s="99"/>
      <c r="J32" s="181"/>
      <c r="K32" s="197" t="str">
        <f>IF(E18="YES","Case Cost (Before Add-on Cost)","")</f>
        <v/>
      </c>
      <c r="L32" s="218" t="str">
        <f>IF(E18="YES",Calculations!E5,"")</f>
        <v/>
      </c>
      <c r="M32" s="183"/>
      <c r="N32" s="184"/>
      <c r="O32" s="185"/>
      <c r="AA32" s="98"/>
    </row>
    <row r="33" spans="1:27" ht="15" thickBot="1" x14ac:dyDescent="0.4">
      <c r="A33" s="98"/>
      <c r="B33" s="99"/>
      <c r="C33" s="181"/>
      <c r="D33" s="182"/>
      <c r="E33" s="182"/>
      <c r="F33" s="183"/>
      <c r="G33" s="184"/>
      <c r="H33" s="185"/>
      <c r="I33" s="186"/>
      <c r="J33" s="181"/>
      <c r="K33" s="182"/>
      <c r="L33" s="182"/>
      <c r="M33" s="183"/>
      <c r="N33" s="184"/>
      <c r="O33" s="185"/>
      <c r="AA33" s="98"/>
    </row>
    <row r="34" spans="1:27" ht="35" customHeight="1" thickBot="1" x14ac:dyDescent="0.4">
      <c r="A34" s="98"/>
      <c r="B34" s="99"/>
      <c r="C34" s="181"/>
      <c r="D34" s="187" t="s">
        <v>244</v>
      </c>
      <c r="E34" s="188">
        <f>IFERROR(IF(D9="",0,Calculations!G5),"")</f>
        <v>0</v>
      </c>
      <c r="F34" s="183"/>
      <c r="G34" s="184"/>
      <c r="H34" s="185"/>
      <c r="I34" s="186"/>
      <c r="J34" s="181"/>
      <c r="K34" s="189" t="str">
        <f>IF(D9="","",IF(AND(D9="MBLL Distribution",E18="Yes"),"Final Case Cost",IF(AND(D9="MBLL DISTRIBUTION",OR(E18="No",E18="")),"Case Cost",IF(D9="PRIVATE Distribution","Gross Price to Brewer",""))))</f>
        <v/>
      </c>
      <c r="L34" s="190" t="str">
        <f>IF(E14="","",IF(AND(D9="MBLL Distribution",E18="Yes"),Calculations!AP5,IF(AND(D9="MBLL Distribution",E18="No"),Calculations!E5,IF(D9="Private Distribution",Calculations!F5,0))))</f>
        <v/>
      </c>
      <c r="M34" s="183"/>
      <c r="N34" s="184"/>
      <c r="O34" s="185"/>
      <c r="AA34" s="98"/>
    </row>
    <row r="35" spans="1:27" ht="15" thickBot="1" x14ac:dyDescent="0.4">
      <c r="A35" s="98"/>
      <c r="B35" s="99"/>
      <c r="C35" s="181"/>
      <c r="D35" s="182"/>
      <c r="E35" s="182"/>
      <c r="F35" s="183"/>
      <c r="G35" s="184"/>
      <c r="H35" s="185"/>
      <c r="I35" s="186"/>
      <c r="J35" s="181"/>
      <c r="K35" s="182"/>
      <c r="L35" s="182"/>
      <c r="M35" s="183"/>
      <c r="N35" s="184"/>
      <c r="O35" s="185"/>
      <c r="AA35" s="98"/>
    </row>
    <row r="36" spans="1:27" ht="35" customHeight="1" thickBot="1" x14ac:dyDescent="0.4">
      <c r="A36" s="98"/>
      <c r="B36" s="99"/>
      <c r="C36" s="181"/>
      <c r="D36" s="262" t="s">
        <v>258</v>
      </c>
      <c r="E36" s="260">
        <f>IF(E34=0,0,SUM(Calculations!G5-(Calculations!G5*13.75%)))</f>
        <v>0</v>
      </c>
      <c r="F36" s="183"/>
      <c r="G36" s="184"/>
      <c r="H36" s="185"/>
      <c r="I36" s="186"/>
      <c r="J36" s="181"/>
      <c r="K36" s="258" t="s">
        <v>122</v>
      </c>
      <c r="L36" s="259">
        <f>IF(L9="",0,Calculations!AM5)</f>
        <v>0</v>
      </c>
      <c r="M36" s="183"/>
      <c r="N36" s="184"/>
      <c r="O36" s="185"/>
      <c r="AA36" s="98"/>
    </row>
    <row r="37" spans="1:27" ht="15" customHeight="1" thickBot="1" x14ac:dyDescent="0.4">
      <c r="A37" s="98"/>
      <c r="B37" s="99"/>
      <c r="C37" s="191"/>
      <c r="D37" s="192"/>
      <c r="E37" s="192"/>
      <c r="F37" s="193"/>
      <c r="G37" s="184"/>
      <c r="H37" s="185"/>
      <c r="I37" s="186"/>
      <c r="J37" s="191"/>
      <c r="K37" s="192"/>
      <c r="L37" s="192"/>
      <c r="M37" s="193"/>
      <c r="N37" s="184"/>
      <c r="O37" s="185"/>
      <c r="AA37" s="98"/>
    </row>
    <row r="38" spans="1:27" ht="15" thickBot="1" x14ac:dyDescent="0.4">
      <c r="A38" s="98"/>
      <c r="B38" s="102"/>
      <c r="C38" s="104"/>
      <c r="D38" s="104"/>
      <c r="E38" s="104"/>
      <c r="F38" s="104"/>
      <c r="G38" s="103"/>
      <c r="H38" s="98"/>
      <c r="I38" s="102"/>
      <c r="J38" s="228"/>
      <c r="K38" s="228"/>
      <c r="L38" s="228"/>
      <c r="M38" s="228"/>
      <c r="N38" s="229"/>
      <c r="O38" s="185"/>
      <c r="AA38" s="98"/>
    </row>
    <row r="39" spans="1:27" x14ac:dyDescent="0.35">
      <c r="A39" s="98"/>
      <c r="B39" s="98"/>
      <c r="C39" s="98"/>
      <c r="D39" s="98"/>
      <c r="E39" s="98"/>
      <c r="F39" s="98"/>
      <c r="G39" s="98"/>
      <c r="H39" s="98"/>
      <c r="I39" s="98"/>
      <c r="J39" s="185"/>
      <c r="K39" s="185"/>
      <c r="L39" s="185"/>
      <c r="M39" s="185"/>
      <c r="N39" s="185"/>
      <c r="O39" s="185"/>
      <c r="AA39" s="98"/>
    </row>
    <row r="40" spans="1:27" x14ac:dyDescent="0.35">
      <c r="A40" s="219"/>
      <c r="B40" s="230"/>
      <c r="C40" s="230"/>
      <c r="D40" s="230"/>
      <c r="E40" s="231" t="s">
        <v>251</v>
      </c>
      <c r="F40" s="230"/>
      <c r="G40" s="230" t="s">
        <v>253</v>
      </c>
      <c r="H40" s="230"/>
      <c r="I40" s="230"/>
      <c r="J40" s="230"/>
      <c r="K40" s="274" t="s">
        <v>252</v>
      </c>
      <c r="L40" s="274"/>
      <c r="M40" s="230"/>
      <c r="N40" s="230"/>
      <c r="O40" s="232"/>
      <c r="AA40" s="98"/>
    </row>
    <row r="41" spans="1:27" x14ac:dyDescent="0.35">
      <c r="A41" s="98"/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AA41" s="98"/>
    </row>
    <row r="42" spans="1:27" hidden="1" x14ac:dyDescent="0.35">
      <c r="A42" s="98"/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</row>
  </sheetData>
  <sheetProtection algorithmName="SHA-512" hashValue="RA+BwGF4vaCUgiKIfPzozSl83oJmQ4y0H0Zy27T2up9C7eERUQ78OsHZ4pz+iW8bM2lZN1KGvitNwFKwLtY+Yw==" saltValue="xOWm45EovDKfSPXuQMZqoA==" spinCount="100000" sheet="1" objects="1" scenarios="1" selectLockedCells="1"/>
  <mergeCells count="10">
    <mergeCell ref="B2:N2"/>
    <mergeCell ref="B3:N3"/>
    <mergeCell ref="B4:N4"/>
    <mergeCell ref="D8:E8"/>
    <mergeCell ref="K8:L8"/>
    <mergeCell ref="K40:L40"/>
    <mergeCell ref="J30:M30"/>
    <mergeCell ref="C12:F12"/>
    <mergeCell ref="D9:E9"/>
    <mergeCell ref="J12:M12"/>
  </mergeCells>
  <conditionalFormatting sqref="E17">
    <cfRule type="expression" dxfId="10" priority="5">
      <formula>$D$17="Certificate of Origin"</formula>
    </cfRule>
  </conditionalFormatting>
  <conditionalFormatting sqref="E18">
    <cfRule type="expression" dxfId="9" priority="3">
      <formula>$D$18="Is this a Gift Pack?"</formula>
    </cfRule>
  </conditionalFormatting>
  <conditionalFormatting sqref="E22">
    <cfRule type="expression" dxfId="8" priority="2">
      <formula>$D$22="Total selling volume/liter"</formula>
    </cfRule>
  </conditionalFormatting>
  <conditionalFormatting sqref="E23">
    <cfRule type="expression" dxfId="7" priority="9">
      <formula>$D$9="MBLL Distribution"</formula>
    </cfRule>
  </conditionalFormatting>
  <conditionalFormatting sqref="E24">
    <cfRule type="expression" dxfId="6" priority="1">
      <formula>$D$24="Container Type"</formula>
    </cfRule>
    <cfRule type="expression" dxfId="5" priority="14">
      <formula>D22="Container Type"</formula>
    </cfRule>
  </conditionalFormatting>
  <conditionalFormatting sqref="E26">
    <cfRule type="expression" dxfId="4" priority="13">
      <formula>D9="MBLL Distribution"</formula>
    </cfRule>
  </conditionalFormatting>
  <conditionalFormatting sqref="E27">
    <cfRule type="expression" dxfId="3" priority="12">
      <formula>D9="MBLL Distribution"</formula>
    </cfRule>
  </conditionalFormatting>
  <conditionalFormatting sqref="E31">
    <cfRule type="expression" dxfId="2" priority="6">
      <formula>$E$18="YES"</formula>
    </cfRule>
  </conditionalFormatting>
  <conditionalFormatting sqref="K32">
    <cfRule type="expression" dxfId="1" priority="11">
      <formula>$E$18="YES"</formula>
    </cfRule>
  </conditionalFormatting>
  <conditionalFormatting sqref="L32">
    <cfRule type="expression" dxfId="0" priority="10">
      <formula>$E$18="YES"</formula>
    </cfRule>
  </conditionalFormatting>
  <dataValidations count="15">
    <dataValidation type="list" allowBlank="1" showErrorMessage="1" error="Need to select from the drop-down" promptTitle="DISTRIBUTION TYPE" prompt="Please select Distribution type from the drop-down" sqref="D9:E9" xr:uid="{BADDF0DA-5B2C-4B4D-B289-F8C6A6E34A16}">
      <formula1>"MBLL Distribution,PRIVATE Distribution"</formula1>
    </dataValidation>
    <dataValidation type="list" allowBlank="1" showInputMessage="1" showErrorMessage="1" sqref="E16" xr:uid="{95893A1C-F48A-41E6-B321-9CF4609DFC40}">
      <formula1>"Yes,No"</formula1>
    </dataValidation>
    <dataValidation type="list" allowBlank="1" showInputMessage="1" showErrorMessage="1" sqref="E14" xr:uid="{7DE9274B-DF92-4BFD-A694-68863F347EFE}">
      <formula1>IF($D$9="","",IF($D$9="MBLL Distribution",Product_Category,Private_Category))</formula1>
    </dataValidation>
    <dataValidation type="list" allowBlank="1" showInputMessage="1" showErrorMessage="1" sqref="E15" xr:uid="{D7430EA7-4256-42D0-9119-1206CEF39F08}">
      <formula1>IF(E14="","",IF(E14="Spirits",Spirits,IF(E14="Wine",Wine,IF(E14="Ready_to_Drink",Ready_to_Drink,IF(E14="Beer",Beer,"")))))</formula1>
    </dataValidation>
    <dataValidation type="list" allowBlank="1" showErrorMessage="1" error="Please select from the drop-down" prompt="Please select from the drop-down" sqref="E24" xr:uid="{A99B61F7-2391-4433-BC83-A8C9F2252BAD}">
      <formula1>IF(E14="Beer",Container,Blank)</formula1>
    </dataValidation>
    <dataValidation type="list" allowBlank="1" showErrorMessage="1" error="Please select from the drop-down" prompt="Please select from the drop-down" sqref="E26" xr:uid="{272484CB-45A6-478D-B048-2B7244B178F6}">
      <formula1>Shipping</formula1>
    </dataValidation>
    <dataValidation type="list" allowBlank="1" showInputMessage="1" showErrorMessage="1" sqref="E27" xr:uid="{9D8E6342-4691-45A4-91D4-A540D96595E2}">
      <formula1>IF($E$26="Canada",Canada_Zones,IF($E$26="USA",American_Zones,IF($E$26="International",International_Zones)))</formula1>
    </dataValidation>
    <dataValidation type="list" allowBlank="1" showInputMessage="1" showErrorMessage="1" sqref="E29" xr:uid="{C7DC6D2B-72B0-4CA6-95B3-7F0C92C0A395}">
      <formula1>IF($D$9="MBLL Distribution",Currency,Currency_Private)</formula1>
    </dataValidation>
    <dataValidation type="list" allowBlank="1" showErrorMessage="1" error="Not editable field. Please select from the drop-down." sqref="K9" xr:uid="{885D859F-1A42-48CC-A07E-66228B911ADB}">
      <formula1>IF($D$9="MBLL Distribution",MBLL_Select,Private_Select)</formula1>
    </dataValidation>
    <dataValidation type="decimal" allowBlank="1" showInputMessage="1" showErrorMessage="1" error="Please input only numbers" prompt="Please input the desired pricing" sqref="L9" xr:uid="{4BC3ED7A-ED74-4D7C-8E2C-D1EABFDA3524}">
      <formula1>0</formula1>
      <formula2>9999999999</formula2>
    </dataValidation>
    <dataValidation type="decimal" showErrorMessage="1" error="Input the amount of Add-On cost per case" promptTitle="FOR GIFT PACKS ONLY" prompt="Input the total amount of Add-on Cost per Case" sqref="E31" xr:uid="{54DF9C3F-6E0F-43D0-A190-4B0D755DFB24}">
      <formula1>0</formula1>
      <formula2>999999</formula2>
    </dataValidation>
    <dataValidation type="list" allowBlank="1" showInputMessage="1" showErrorMessage="1" sqref="E17:E18" xr:uid="{693594C0-646D-4C7D-B7C9-E56378C2D9B1}">
      <formula1>IF($D$9="MBLL Distribution",Certificate_of_Origin,Blank)</formula1>
    </dataValidation>
    <dataValidation type="decimal" allowBlank="1" showInputMessage="1" showErrorMessage="1" error="Input Liter size only" sqref="E20" xr:uid="{468FB8A5-D86B-4BDE-9656-5A715111E475}">
      <formula1>0</formula1>
      <formula2>999999</formula2>
    </dataValidation>
    <dataValidation type="list" allowBlank="1" showInputMessage="1" showErrorMessage="1" sqref="E28" xr:uid="{57464796-64F2-4A6A-9F2B-ADCFA9A75D73}">
      <formula1>IF($D$9="PRIVATE Distribution",Duties_Private,IF(AND($E$14="Beer",$E$26="Canada"),Duties_Private,IF(OR($E$26="USA",$E$26="International"),Duties_MB_Intl,Duties_MB_Dom)))</formula1>
    </dataValidation>
    <dataValidation type="decimal" allowBlank="1" showInputMessage="1" showErrorMessage="1" error="Input the amount of additional cost per unit" sqref="L36" xr:uid="{0BE67A2D-02E4-4D01-8C66-9244A0E8DD31}">
      <formula1>0</formula1>
      <formula2>999999999</formula2>
    </dataValidation>
  </dataValidations>
  <hyperlinks>
    <hyperlink ref="K40" r:id="rId1" display="https://www.mbllpartners.ca/liquor-partners/liquor-agents-suppliers" xr:uid="{B7DCA446-24E6-4E7A-8EAF-431572C0DB41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506C5-76C7-4069-B737-A4D0BB315406}">
  <sheetPr>
    <tabColor rgb="FF00B050"/>
  </sheetPr>
  <dimension ref="A3:AP13"/>
  <sheetViews>
    <sheetView workbookViewId="0">
      <selection activeCell="G5" sqref="G5"/>
    </sheetView>
  </sheetViews>
  <sheetFormatPr defaultRowHeight="14.5" x14ac:dyDescent="0.35"/>
  <cols>
    <col min="1" max="1" width="15.6328125" customWidth="1"/>
    <col min="2" max="2" width="30.81640625" customWidth="1"/>
    <col min="3" max="4" width="15.6328125" customWidth="1"/>
    <col min="5" max="5" width="13.81640625" customWidth="1"/>
    <col min="6" max="6" width="10.36328125" customWidth="1"/>
    <col min="7" max="7" width="12.36328125" customWidth="1"/>
    <col min="8" max="8" width="10" customWidth="1"/>
    <col min="9" max="10" width="15.6328125" customWidth="1"/>
    <col min="12" max="12" width="9" customWidth="1"/>
    <col min="13" max="13" width="10.1796875" customWidth="1"/>
    <col min="15" max="15" width="10.1796875" customWidth="1"/>
    <col min="19" max="19" width="11.6328125" customWidth="1"/>
    <col min="20" max="21" width="12.36328125" customWidth="1"/>
    <col min="35" max="35" width="9.08984375" customWidth="1"/>
    <col min="36" max="36" width="9.36328125" customWidth="1"/>
    <col min="38" max="38" width="7.81640625" customWidth="1"/>
    <col min="41" max="41" width="11.08984375" customWidth="1"/>
  </cols>
  <sheetData>
    <row r="3" spans="1:42" x14ac:dyDescent="0.35">
      <c r="A3" s="112" t="s">
        <v>121</v>
      </c>
    </row>
    <row r="4" spans="1:42" s="208" customFormat="1" ht="58" x14ac:dyDescent="0.35">
      <c r="A4" s="201" t="s">
        <v>189</v>
      </c>
      <c r="B4" s="201" t="s">
        <v>180</v>
      </c>
      <c r="C4" s="200" t="s">
        <v>181</v>
      </c>
      <c r="D4" s="200" t="s">
        <v>249</v>
      </c>
      <c r="E4" s="200" t="s">
        <v>182</v>
      </c>
      <c r="F4" s="200" t="s">
        <v>183</v>
      </c>
      <c r="G4" s="200" t="s">
        <v>184</v>
      </c>
      <c r="H4" s="200" t="s">
        <v>225</v>
      </c>
      <c r="I4" s="200" t="s">
        <v>191</v>
      </c>
      <c r="J4" s="201" t="s">
        <v>193</v>
      </c>
      <c r="K4" s="201" t="s">
        <v>185</v>
      </c>
      <c r="L4" s="201" t="s">
        <v>186</v>
      </c>
      <c r="M4" s="200" t="s">
        <v>192</v>
      </c>
      <c r="N4" s="201" t="s">
        <v>190</v>
      </c>
      <c r="O4" s="200" t="s">
        <v>161</v>
      </c>
      <c r="P4" s="200" t="s">
        <v>221</v>
      </c>
      <c r="Q4" s="200" t="s">
        <v>223</v>
      </c>
      <c r="R4" s="200" t="s">
        <v>195</v>
      </c>
      <c r="S4" s="200" t="s">
        <v>187</v>
      </c>
      <c r="T4" s="202" t="s">
        <v>188</v>
      </c>
      <c r="U4" s="202" t="s">
        <v>154</v>
      </c>
      <c r="V4" s="203" t="s">
        <v>24</v>
      </c>
      <c r="W4" s="200" t="s">
        <v>224</v>
      </c>
      <c r="X4" s="215" t="s">
        <v>215</v>
      </c>
      <c r="Y4" s="204" t="s">
        <v>216</v>
      </c>
      <c r="Z4" s="204" t="s">
        <v>206</v>
      </c>
      <c r="AA4" s="204" t="s">
        <v>217</v>
      </c>
      <c r="AB4" s="204" t="s">
        <v>218</v>
      </c>
      <c r="AC4" s="204" t="s">
        <v>214</v>
      </c>
      <c r="AD4" s="205" t="s">
        <v>245</v>
      </c>
      <c r="AE4" s="206" t="s">
        <v>204</v>
      </c>
      <c r="AF4" s="206" t="s">
        <v>205</v>
      </c>
      <c r="AG4" s="212" t="s">
        <v>246</v>
      </c>
      <c r="AH4" s="200" t="s">
        <v>222</v>
      </c>
      <c r="AI4" s="200" t="s">
        <v>259</v>
      </c>
      <c r="AJ4" s="200" t="s">
        <v>260</v>
      </c>
      <c r="AK4" s="213" t="s">
        <v>140</v>
      </c>
      <c r="AL4" s="200" t="s">
        <v>160</v>
      </c>
      <c r="AM4" s="207" t="s">
        <v>226</v>
      </c>
      <c r="AN4" s="198" t="s">
        <v>247</v>
      </c>
      <c r="AO4" s="214" t="s">
        <v>159</v>
      </c>
      <c r="AP4" s="200" t="s">
        <v>250</v>
      </c>
    </row>
    <row r="5" spans="1:42" ht="22.5" customHeight="1" x14ac:dyDescent="0.35">
      <c r="A5" s="125" t="str">
        <f>IF('Trial Pricing Calculator'!E14="","",'Trial Pricing Calculator'!E14)</f>
        <v/>
      </c>
      <c r="B5" s="125" t="str">
        <f>IF(A5="","",(IF(AND('Trial Pricing Calculator'!E14="Wine",'Trial Pricing Calculator'!E15="All Other Wine",Calculations!J5&gt;2),"All Other Wine &gt;2L",IF(AND('Trial Pricing Calculator'!E14="Wine",'Trial Pricing Calculator'!E15="All Other Wine",N5&gt;13.7,N5&lt;=14.9,Calculations!J5&lt;=2),"All Other Wine 13.8% to 14.9%",IF(AND('Trial Pricing Calculator'!E14="Wine",'Trial Pricing Calculator'!E15="All Other Wine",N5&lt;=7,Calculations!J5&lt;=2),"All Other Wine =OR&lt;7.0%=&lt;2L",IF(AND('Trial Pricing Calculator'!E14="Wine",'Trial Pricing Calculator'!E15="All Other Wine",Calculations!N5&gt;7,N5&lt;=13.7,Calculations!J5&lt;=2),"All Other Wine 7.1% to 13.7%",IF(AND('Trial Pricing Calculator'!E14="Wine",'Trial Pricing Calculator'!E15="All Other Wine",N5&gt;14.9,Calculations!J5&lt;=2),"All Other Wine &gt;14.9%",IF(AND('Trial Pricing Calculator'!E14="Wine",'Trial Pricing Calculator'!E15="Sake",N5&gt;=7.1,N5&lt;=13.7),"Sake &gt;7.1 - 13.7%",IF(AND('Trial Pricing Calculator'!E14="Wine",'Trial Pricing Calculator'!E15="Sake",N5&gt;=13.8,N5&lt;=14.9),"Sake &gt;13.8 - 14.9%",IF(AND('Trial Pricing Calculator'!E14="Wine",'Trial Pricing Calculator'!E15="Sake",N5&gt;=16,N5&lt;=16.9),"Sake 16 - 16.9%",IF(AND('Trial Pricing Calculator'!E14="Wine",'Trial Pricing Calculator'!E15="Sake",N5&gt;=15,N5&lt;=15.9),"Sake 15 - 15.9%",IF(AND('Trial Pricing Calculator'!E14="Wine",'Trial Pricing Calculator'!E15="Sake",N5&gt;=17,N5&lt;=17.9),"Sake 17 - 17.9%",IF(AND('Trial Pricing Calculator'!E14="Wine",'Trial Pricing Calculator'!E15="Sparkling Wine"),"Sparkling Wine",IF(AND('Trial Pricing Calculator'!E14="Wine",'Trial Pricing Calculator'!E15="Fortified Wine",N5&lt;14.9),"Fortified Wine &gt;13.7% - 14.9%",IF(AND('Trial Pricing Calculator'!E14="Wine",'Trial Pricing Calculator'!E15="Fortified Wine",N5&gt;14.9),"Fortified Wine &gt;14.9%",IF(OR('Trial Pricing Calculator'!E14="Spirits",'Trial Pricing Calculator'!E14="Ready_to_Drink",'Trial Pricing Calculator'!E14="Beer"),'Trial Pricing Calculator'!E15))))))))))))))))</f>
        <v/>
      </c>
      <c r="C5" s="157" t="str">
        <f>IF('Trial Pricing Calculator'!K9="Retail Price",'Trial Pricing Calculator'!L9,"")</f>
        <v/>
      </c>
      <c r="D5" s="157">
        <f>IF(AND('Trial Pricing Calculator'!D9="MBLL Distribution",'Trial Pricing Calculator'!K9="Case Cost"),'Trial Pricing Calculator'!L9,IF(AND('Trial Pricing Calculator'!D9="PRIVATE Distribution",'Trial Pricing Calculator'!K9="Gross Price to Brewer"),'Trial Pricing Calculator'!L9,0))</f>
        <v>0</v>
      </c>
      <c r="E5" s="126">
        <f>IFERROR(ROUND(IF('Trial Pricing Calculator'!D9="MBLL Distribution",F5*K5),2),"")</f>
        <v>0</v>
      </c>
      <c r="F5" s="142">
        <f>IFERROR(IF(AND('Trial Pricing Calculator'!D9="MBLL Distribution",'Trial Pricing Calculator'!K9="Retail Price"),Calculations!AJ5,IF(AND('Trial Pricing Calculator'!D9="MBLL Distribution",'Trial Pricing Calculator'!K9="Case Cost"),Calculations!AI5,AO5)),"")</f>
        <v>0</v>
      </c>
      <c r="G5" s="320" t="str">
        <f>IFERROR(ROUND(IF('Trial Pricing Calculator'!K9="Retail Price",C5,AK5),4),"")</f>
        <v/>
      </c>
      <c r="H5" s="142" t="str">
        <f>IFERROR(VLOOKUP('Trial Pricing Calculator'!E29,Rates!A:B,2,0),"")</f>
        <v/>
      </c>
      <c r="I5" s="142" t="str">
        <f>IFERROR(ROUND(SUM(F5*H5),4),"")</f>
        <v/>
      </c>
      <c r="J5" s="125">
        <f>'Trial Pricing Calculator'!E20*'Trial Pricing Calculator'!E21</f>
        <v>0</v>
      </c>
      <c r="K5" s="125">
        <f>'Trial Pricing Calculator'!E23</f>
        <v>0</v>
      </c>
      <c r="L5" s="125">
        <f>'Trial Pricing Calculator'!E20</f>
        <v>0</v>
      </c>
      <c r="M5" s="125">
        <f>'Trial Pricing Calculator'!E21</f>
        <v>0</v>
      </c>
      <c r="N5" s="126">
        <f>'Trial Pricing Calculator'!E25*100</f>
        <v>0</v>
      </c>
      <c r="O5" s="125" t="str">
        <f>IF('Trial Pricing Calculator'!E14="Beer",'Trial Pricing Calculator'!E24,"")</f>
        <v/>
      </c>
      <c r="P5" s="142" t="str">
        <f>IF(OR('Trial Pricing Calculator'!E16="No",'Trial Pricing Calculator'!E16=""),"No","Yes")</f>
        <v>No</v>
      </c>
      <c r="Q5" s="142" t="str">
        <f>IF(AND(OR(A5="Spirits",A5="Wine",A5="Beer",A5="Ready_to_Drink"),P5="No"),"0",IF(AND(B5="RTD - NGS/Bulk Spirits",P5="Yes"),"2","1"))</f>
        <v>1</v>
      </c>
      <c r="R5" s="125" t="str">
        <f>IF(OR('Trial Pricing Calculator'!E17="NO",'Trial Pricing Calculator'!E17=""),"NO","YES")</f>
        <v>NO</v>
      </c>
      <c r="S5" s="125">
        <f>'Trial Pricing Calculator'!E28</f>
        <v>0</v>
      </c>
      <c r="T5" s="158" t="str">
        <f>IF(A5="","",ROUND(IF(AND('Trial Pricing Calculator'!D9="MBLL Distribution",'Trial Pricing Calculator'!E26="International"),SUM(VLOOKUP('Trial Pricing Calculator'!E27,Rates!H6:I33,2,0)*Calculations!J5),IF(AND('Trial Pricing Calculator'!D9="MBLL Distribution",'Trial Pricing Calculator'!E26="USA"),SUM(VLOOKUP('Trial Pricing Calculator'!E27,Rates!F6:G24,2,0)*Calculations!J5),IF(AND('Trial Pricing Calculator'!D9="MBLL Distribution",'Trial Pricing Calculator'!E26="Canada"),SUM(VLOOKUP('Trial Pricing Calculator'!E27,Rates!D6:E28,2,0)*Calculations!J5)))),4))</f>
        <v/>
      </c>
      <c r="U5" s="158">
        <f>ROUND(IF(OR(S5="Excise",S5="Duty Paid"),0,IF(AND(OR(B5="RTD - One-Pour Cocktails &gt;7% &lt;=14.5%",B5="RTD - NGS/Bulk Spirits",B5="RTD - Spirit-Based",A5="Spirits"),S5="Customs",R5="NO"),VLOOKUP(B5,Rates!AB:AC,2,0)*Calculations!J5*Calculations!N5/100,IF(AND(OR(A5="Wine",A5="Beer",B5="Cider",B5="RTD - Wine-Based",B5="RTD - Malt-Based"),S5="Customs",R5="NO"),VLOOKUP(B5,Rates!AB:AC,2,0)*Calculations!J5))),4)</f>
        <v>0</v>
      </c>
      <c r="V5" s="158" t="str">
        <f>IF(A5="","",ROUND(IF(A5="","",IF(S5="Duty Paid",0,IF(AND(A5="Spirits",N5&gt;7),J5*N5*Rates!K7*0.01,IF(AND(A5="Spirits",N5&lt;=7),J5*Rates!K8,IF(AND(OR(B5="RTD - NGS/Bulk Spirits",B5="RTD - Spirit-Based"),N5&lt;=7),J5*Rates!K8,IF(AND(OR(B5="RTD - NGS/Bulk Spirits",B5="RTD - One-Pour Cocktails &gt;7% &lt;=14.5%",B5="RTD - Spirit-Based"),N5&gt;7),J5*N5*Rates!K7*0.01,IF(AND(OR(A5="Wine",B5="RTD - Wine-Based",B5="Cider"),N5&lt;=7),J5*Rates!K10,IF(AND(OR(B5="Cider",A5="Wine",B5="RTD - Wine-Based"),N5&gt;7),J5*Rates!K9,IF(AND(OR(B5="RTD - Malt-Based",A5="Beer"),S5="Customs"),J5*Rates!K6,0))))))))),4))</f>
        <v/>
      </c>
      <c r="W5" s="142" t="str">
        <f>IF(A5="","",ROUND(IF(A5="","",SUM(T5+U5+V5)),4))</f>
        <v/>
      </c>
      <c r="X5" s="159" t="str">
        <f>IF(A5="","",ROUND(IF(AND('Trial Pricing Calculator'!D9="MBLL Distribution",C5=""),AJ5+W5,IF(AND('Trial Pricing Calculator'!D9="MBLL Distribution",D5=""),SUM(AK5-AD5-AE5-AF5-Z5-Y5),AO5)),4))</f>
        <v/>
      </c>
      <c r="Y5" s="160">
        <f>IF('Trial Pricing Calculator'!E18="NO",0,ROUND(IF('Trial Pricing Calculator'!E18="YES",'Trial Pricing Calculator'!L24,0),4))</f>
        <v>0</v>
      </c>
      <c r="Z5" s="160">
        <f>ROUND(IF(AND(OR(O5="Can",O5="Bottle"),A5="Beer"),SUM(0.0292*M5),0),4)</f>
        <v>0</v>
      </c>
      <c r="AA5" s="160">
        <f>ROUND(IF(A5="Spirits",VLOOKUP(VALUE(Q5),Rates!N8:P9,3,0)*AH5,IF(A5="Wine",VLOOKUP(VALUE(Q5),Rates!N12:P13,3,0)*AH5,IF(A5="Ready_to_Drink",VLOOKUP(VALUE(Q5),Rates!N16:P18,3,0)*AH5,IF(A5="Beer",VLOOKUP(VALUE(Q5),Rates!N21:P22,3,0)*AH5,0)))),4)</f>
        <v>0</v>
      </c>
      <c r="AB5" s="160">
        <f>ROUND(IF(A5="Spirits",SUM(VLOOKUP(VALUE(Q5),Rates!N8:O9,2,0)/100)*X5,IF(A5="Wine",SUM(VLOOKUP(VALUE(Q5),Rates!N12:P13,2,0)/100)*X5,IF(A5="Ready_to_Drink",SUM(VLOOKUP(VALUE(Q5),Rates!N16:P18,2,0)/100)*X5,IF(A5="Beer",SUM(VLOOKUP(VALUE(Q5),Rates!N21:P22,2,0)/100)*X5,0)))),4)</f>
        <v>0</v>
      </c>
      <c r="AC5" s="160" t="str">
        <f>IF(A5="","",ROUND(IF(P5="YES",0,SUM(VLOOKUP(A5,Rates!Q:R,2,0)*J5)),4))</f>
        <v/>
      </c>
      <c r="AD5" s="161" t="str">
        <f>IF(A5="","",IF(C5="",MAX(AB5,AC5),MAX(AA5,AC5)))</f>
        <v/>
      </c>
      <c r="AE5" s="162" t="str">
        <f>IF(A5="","",ROUND(IF('Trial Pricing Calculator'!E16="Yes",VLOOKUP(Calculations!A5,Rates!L6:M9,2,0)*J5,VLOOKUP(Calculations!A5,Rates!S6:T9,2,0)*J5),4))</f>
        <v/>
      </c>
      <c r="AF5" s="162" t="str">
        <f>IF(A5="","",ROUND(IF(AND('Trial Pricing Calculator'!D9="MBLL Distribution",'Trial Pricing Calculator'!E26="Canada"),VLOOKUP(Calculations!A5,Rates!U:V,2,0)*Calculations!J5,IF(AND('Trial Pricing Calculator'!D9="MBLL Distribution",'Trial Pricing Calculator'!E26="USA"),VLOOKUP(Calculations!A5,Rates!W:X,2,0)*Calculations!J5,IF(AND('Trial Pricing Calculator'!D9="MBLL Distribution",'Trial Pricing Calculator'!E26="International"),VLOOKUP(Calculations!A5,Rates!Y:Z,2,0)*Calculations!J5))),4))</f>
        <v/>
      </c>
      <c r="AG5" s="142" t="str">
        <f>IFERROR(ROUND(SUM(AE5+AF5+Z5+Y5),4),"")</f>
        <v/>
      </c>
      <c r="AH5" s="142" t="e">
        <f>ROUND(IF(A5="","",IF('Trial Pricing Calculator'!K9="Retail Price",SUM(AK5-AG5),0)),4)</f>
        <v>#VALUE!</v>
      </c>
      <c r="AI5" s="142" t="e">
        <f>ROUND(IF(AND('Trial Pricing Calculator'!D9="MBLL Distribution",C5=""),SUM((Calculations!D5/K5)-Y5),SUM(X5-W5)),4)</f>
        <v>#VALUE!</v>
      </c>
      <c r="AJ5" s="142" t="str">
        <f>IFERROR(ROUND(IF(AND('Trial Pricing Calculator'!D9="MBLL Distribution",C5=""),AI5*H5,AI5/H5),4),"")</f>
        <v/>
      </c>
      <c r="AK5" s="216" t="str">
        <f>IFERROR(IF('Trial Pricing Calculator'!K9="Retail Price",C5,SUM(X5+AD5+AE5+AF5+Z5)),"")</f>
        <v/>
      </c>
      <c r="AL5" s="217" t="str">
        <f>IF(A5="","",ROUND(IF('Trial Pricing Calculator'!K9="Retail Price",AJ5*K5,AI5*K5),2))</f>
        <v/>
      </c>
      <c r="AM5" s="165" cm="1">
        <f t="array" ref="AM5">IFERROR(ROUND(IF(A5="Spirits",SUM(LOOKUP(2,1/(SRP!$C$4:$C$9&lt;=J5)/(SRP!$D$4:$D$9&gt;=J5),SRP!$E$4:$E$9)*(N5/100)*J5),IF(AND(A5="Wine",B5="Fortified Wine"),SUM(LOOKUP(2,1/(SRP!$C$28:$C$31&lt;=J5)/(SRP!$D$28:$D$31&gt;=J5),SRP!$E$28:$E$31)*(N5/100)*J5),IF(A5="Wine",SUM(LOOKUP(2,1/(SRP!$C$23:$C$27&lt;=J5)/(SRP!$D$23:$D$27&gt;=J5),SRP!$E$23:$E$27)*(N5/100)*J5),IF(AND(A5="Ready_to_Drink",B5="RTD - One-Pour Cocktails &gt;7% &lt;=14.5%"),SUM(LOOKUP(2,1/(SRP!$C$18:$C$22&lt;=J5)/(SRP!$D$18:$D$22&gt;=J5),SRP!$E$18:$E$22)*(N5/100)*J5),IF(AND(OR(B5="Cider",B5="RTD - Spirit-Based",B5="RTD - Wine-Based",B5="RTD - Malt-Based",B5="RTD - NGS/Bulk Spirits"),A5="Ready_to_Drink"),SUM(LOOKUP(2,1/(SRP!$C$13:$C$17&lt;=J5)/(SRP!$D$13:$D$17&gt;=J5),SRP!$E$13:$E$17)*(N5/100)*J5),IF(A5="Beer",SUM(LOOKUP(2,1/(SRP!$C$10:$C$12&lt;=J5)/(SRP!$D$10:$D$12&gt;=J5),SRP!$E$10:$E$12)*(N5/100)*J5),0)))))),2),"")</f>
        <v>0</v>
      </c>
      <c r="AN5" s="199">
        <f>'Trial Pricing Calculator'!E31</f>
        <v>0</v>
      </c>
      <c r="AO5" s="161">
        <f>IF('Trial Pricing Calculator'!K9="Gross Price to Brewer",'Trial Pricing Calculator'!L9,IF('Trial Pricing Calculator'!K9="Retail Price",ROUND(SUM(AH5-AD5),4),0))</f>
        <v>0</v>
      </c>
      <c r="AP5" s="217" t="str">
        <f>IFERROR(AL5+SUM(Y5*K5),"")</f>
        <v/>
      </c>
    </row>
    <row r="6" spans="1:42" x14ac:dyDescent="0.35">
      <c r="AH6" s="156"/>
    </row>
    <row r="7" spans="1:42" x14ac:dyDescent="0.35">
      <c r="AH7" s="156"/>
    </row>
    <row r="9" spans="1:42" x14ac:dyDescent="0.35">
      <c r="AG9" s="156"/>
    </row>
    <row r="12" spans="1:42" x14ac:dyDescent="0.35">
      <c r="AF12" s="156"/>
    </row>
    <row r="13" spans="1:42" x14ac:dyDescent="0.35">
      <c r="AF13" s="15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BBA3F-A29A-4A06-85BD-8A8E37948B51}">
  <sheetPr>
    <tabColor rgb="FF7030A0"/>
  </sheetPr>
  <dimension ref="A1:AI260"/>
  <sheetViews>
    <sheetView showGridLines="0" topLeftCell="N11" workbookViewId="0">
      <selection activeCell="AB25" sqref="AB25"/>
    </sheetView>
  </sheetViews>
  <sheetFormatPr defaultRowHeight="14.5" x14ac:dyDescent="0.35"/>
  <cols>
    <col min="1" max="2" width="9.1796875" style="12" customWidth="1"/>
    <col min="3" max="3" width="14.36328125" style="12" customWidth="1"/>
    <col min="4" max="4" width="41.90625" style="12" bestFit="1" customWidth="1"/>
    <col min="5" max="5" width="9.1796875" style="12" customWidth="1"/>
    <col min="6" max="6" width="24.26953125" style="12" customWidth="1"/>
    <col min="7" max="7" width="9.7265625" style="12" customWidth="1"/>
    <col min="8" max="8" width="23.36328125" style="12" customWidth="1"/>
    <col min="9" max="9" width="11.54296875" style="12" customWidth="1"/>
    <col min="10" max="10" width="13.1796875" style="12" customWidth="1"/>
    <col min="11" max="11" width="9.1796875" style="12"/>
    <col min="12" max="12" width="14.1796875" style="12" bestFit="1" customWidth="1"/>
    <col min="13" max="13" width="9.1796875" style="12"/>
    <col min="14" max="14" width="8" style="12" customWidth="1"/>
    <col min="15" max="15" width="11.26953125" style="52" customWidth="1"/>
    <col min="17" max="17" width="25.81640625" customWidth="1"/>
    <col min="19" max="19" width="17.6328125" customWidth="1"/>
    <col min="21" max="21" width="17.7265625" customWidth="1"/>
    <col min="23" max="23" width="15.6328125" customWidth="1"/>
    <col min="25" max="25" width="16.36328125" customWidth="1"/>
    <col min="28" max="28" width="32.1796875" customWidth="1"/>
  </cols>
  <sheetData>
    <row r="1" spans="1:35" ht="16" thickBot="1" x14ac:dyDescent="0.4">
      <c r="A1" s="43" t="s">
        <v>256</v>
      </c>
      <c r="B1" s="11"/>
      <c r="C1" s="247">
        <v>46113</v>
      </c>
      <c r="D1" s="11"/>
      <c r="E1" s="11"/>
      <c r="F1" s="11"/>
      <c r="G1" s="11"/>
      <c r="H1" s="11"/>
      <c r="I1" s="11"/>
      <c r="J1" s="11"/>
      <c r="K1" s="11"/>
      <c r="N1" s="11"/>
      <c r="O1" s="147"/>
    </row>
    <row r="2" spans="1:35" ht="15.5" x14ac:dyDescent="0.35">
      <c r="A2" s="13" t="s">
        <v>22</v>
      </c>
      <c r="B2" s="14"/>
      <c r="C2" s="15" t="s">
        <v>23</v>
      </c>
      <c r="D2" s="16"/>
      <c r="E2" s="16"/>
      <c r="F2" s="16"/>
      <c r="G2" s="16"/>
      <c r="H2" s="16"/>
      <c r="I2" s="17"/>
      <c r="J2" s="13" t="s">
        <v>24</v>
      </c>
      <c r="K2" s="14"/>
      <c r="L2" s="295" t="s">
        <v>257</v>
      </c>
      <c r="M2" s="296"/>
      <c r="N2" s="67" t="s">
        <v>220</v>
      </c>
      <c r="O2" s="148"/>
      <c r="P2" s="69"/>
      <c r="Q2" s="68" t="s">
        <v>219</v>
      </c>
      <c r="R2" s="68"/>
      <c r="S2" s="293" t="s">
        <v>177</v>
      </c>
      <c r="T2" s="294"/>
      <c r="U2" s="67" t="s">
        <v>176</v>
      </c>
      <c r="V2" s="69"/>
      <c r="W2" s="67" t="s">
        <v>178</v>
      </c>
      <c r="X2" s="69"/>
      <c r="Y2" s="67" t="s">
        <v>179</v>
      </c>
      <c r="Z2" s="68"/>
      <c r="AA2" s="67" t="s">
        <v>194</v>
      </c>
      <c r="AB2" s="68"/>
      <c r="AC2" s="68"/>
      <c r="AD2" s="69"/>
      <c r="AE2" t="s">
        <v>162</v>
      </c>
      <c r="AF2" t="s">
        <v>163</v>
      </c>
      <c r="AG2" t="s">
        <v>30</v>
      </c>
      <c r="AH2" t="s">
        <v>164</v>
      </c>
      <c r="AI2" t="s">
        <v>165</v>
      </c>
    </row>
    <row r="3" spans="1:35" ht="15.5" x14ac:dyDescent="0.35">
      <c r="A3" s="18"/>
      <c r="B3" s="19"/>
      <c r="C3" s="20"/>
      <c r="D3" s="21"/>
      <c r="E3" s="21"/>
      <c r="F3" s="21"/>
      <c r="G3" s="21"/>
      <c r="H3" s="21"/>
      <c r="I3" s="22"/>
      <c r="J3" s="18"/>
      <c r="K3" s="19"/>
      <c r="L3" s="297"/>
      <c r="M3" s="298"/>
      <c r="N3" s="70"/>
      <c r="O3" s="71"/>
      <c r="P3" s="72"/>
      <c r="Q3" s="71"/>
      <c r="R3" s="71"/>
      <c r="S3" s="123"/>
      <c r="T3" s="124"/>
      <c r="U3" s="113"/>
      <c r="V3" s="72"/>
      <c r="W3" s="113"/>
      <c r="X3" s="72"/>
      <c r="Y3" s="113"/>
      <c r="Z3" s="71"/>
      <c r="AA3" s="113" t="s">
        <v>9</v>
      </c>
      <c r="AB3" s="71"/>
      <c r="AC3" s="71"/>
      <c r="AD3" s="72"/>
      <c r="AE3" t="s">
        <v>166</v>
      </c>
      <c r="AF3" t="s">
        <v>167</v>
      </c>
      <c r="AG3">
        <v>100</v>
      </c>
      <c r="AH3">
        <v>1.4435</v>
      </c>
      <c r="AI3">
        <v>0.31</v>
      </c>
    </row>
    <row r="4" spans="1:35" ht="26.5" x14ac:dyDescent="0.35">
      <c r="A4" s="23" t="s">
        <v>7</v>
      </c>
      <c r="B4" s="24" t="s">
        <v>25</v>
      </c>
      <c r="C4" s="23" t="s">
        <v>23</v>
      </c>
      <c r="D4" s="23" t="s">
        <v>151</v>
      </c>
      <c r="E4" s="24" t="s">
        <v>26</v>
      </c>
      <c r="F4" s="25" t="s">
        <v>152</v>
      </c>
      <c r="G4" s="24" t="s">
        <v>27</v>
      </c>
      <c r="H4" s="25" t="s">
        <v>153</v>
      </c>
      <c r="I4" s="24" t="s">
        <v>28</v>
      </c>
      <c r="J4" s="23" t="s">
        <v>29</v>
      </c>
      <c r="K4" s="24" t="s">
        <v>25</v>
      </c>
      <c r="L4" s="44" t="s">
        <v>29</v>
      </c>
      <c r="M4" s="44" t="s">
        <v>25</v>
      </c>
      <c r="N4" s="146" t="s">
        <v>29</v>
      </c>
      <c r="O4" s="26" t="s">
        <v>112</v>
      </c>
      <c r="P4" s="24" t="s">
        <v>25</v>
      </c>
      <c r="Q4" s="26" t="s">
        <v>29</v>
      </c>
      <c r="R4" s="44" t="s">
        <v>25</v>
      </c>
      <c r="S4" s="116" t="s">
        <v>30</v>
      </c>
      <c r="T4" s="117" t="s">
        <v>25</v>
      </c>
      <c r="U4" s="116" t="s">
        <v>30</v>
      </c>
      <c r="V4" s="117" t="s">
        <v>25</v>
      </c>
      <c r="W4" s="116" t="s">
        <v>30</v>
      </c>
      <c r="X4" s="117" t="s">
        <v>25</v>
      </c>
      <c r="Y4" s="116" t="s">
        <v>30</v>
      </c>
      <c r="Z4" s="121" t="s">
        <v>25</v>
      </c>
      <c r="AA4" s="127" t="s">
        <v>30</v>
      </c>
      <c r="AB4" s="121" t="s">
        <v>29</v>
      </c>
      <c r="AC4" s="121" t="s">
        <v>25</v>
      </c>
      <c r="AD4" s="117"/>
      <c r="AE4" t="s">
        <v>166</v>
      </c>
      <c r="AF4" t="s">
        <v>167</v>
      </c>
      <c r="AG4">
        <v>200</v>
      </c>
      <c r="AH4">
        <v>2.347</v>
      </c>
      <c r="AI4">
        <v>0.31</v>
      </c>
    </row>
    <row r="5" spans="1:35" x14ac:dyDescent="0.35">
      <c r="A5" s="23"/>
      <c r="B5" s="24"/>
      <c r="C5" s="23"/>
      <c r="D5" s="23"/>
      <c r="E5" s="24"/>
      <c r="F5" s="25"/>
      <c r="G5" s="24"/>
      <c r="H5" s="25"/>
      <c r="I5" s="24"/>
      <c r="J5" s="23"/>
      <c r="K5" s="24"/>
      <c r="L5" s="44"/>
      <c r="M5" s="44"/>
      <c r="N5" s="146"/>
      <c r="O5" s="26"/>
      <c r="P5" s="24"/>
      <c r="Q5" s="26"/>
      <c r="R5" s="44"/>
      <c r="S5" s="118"/>
      <c r="T5" s="119"/>
      <c r="U5" s="118"/>
      <c r="V5" s="119"/>
      <c r="W5" s="118"/>
      <c r="X5" s="119"/>
      <c r="Y5" s="118"/>
      <c r="Z5" s="122"/>
      <c r="AA5" s="128"/>
      <c r="AB5" s="122"/>
      <c r="AC5" s="122"/>
      <c r="AD5" s="119"/>
      <c r="AE5" t="s">
        <v>166</v>
      </c>
      <c r="AF5" t="s">
        <v>167</v>
      </c>
      <c r="AG5">
        <v>300</v>
      </c>
      <c r="AH5">
        <v>1.1942999999999999</v>
      </c>
      <c r="AI5">
        <v>0.19</v>
      </c>
    </row>
    <row r="6" spans="1:35" x14ac:dyDescent="0.35">
      <c r="A6" s="27" t="s">
        <v>31</v>
      </c>
      <c r="B6" s="31">
        <v>1</v>
      </c>
      <c r="C6" s="27" t="s">
        <v>32</v>
      </c>
      <c r="D6" s="27" t="s">
        <v>33</v>
      </c>
      <c r="E6" s="264">
        <v>0.4</v>
      </c>
      <c r="F6" s="29" t="s">
        <v>34</v>
      </c>
      <c r="G6" s="48">
        <v>0.6</v>
      </c>
      <c r="H6" s="29" t="s">
        <v>35</v>
      </c>
      <c r="I6" s="48">
        <v>1.45</v>
      </c>
      <c r="J6" s="51" t="s">
        <v>15</v>
      </c>
      <c r="K6" s="252">
        <v>0.37690000000000001</v>
      </c>
      <c r="L6" s="248" t="s">
        <v>14</v>
      </c>
      <c r="M6" s="250">
        <v>0.28699999999999998</v>
      </c>
      <c r="N6" s="53" t="s">
        <v>14</v>
      </c>
      <c r="O6" s="149"/>
      <c r="P6" s="54"/>
      <c r="Q6" s="144" t="s">
        <v>14</v>
      </c>
      <c r="R6" s="114">
        <v>19.885000000000002</v>
      </c>
      <c r="S6" s="64" t="s">
        <v>14</v>
      </c>
      <c r="T6" s="114">
        <v>1.476</v>
      </c>
      <c r="U6" s="64" t="s">
        <v>14</v>
      </c>
      <c r="V6" s="114">
        <v>0.31780000000000003</v>
      </c>
      <c r="W6" s="64" t="s">
        <v>14</v>
      </c>
      <c r="X6" s="114">
        <v>0.51249999999999996</v>
      </c>
      <c r="Y6" s="64" t="s">
        <v>14</v>
      </c>
      <c r="Z6" s="120">
        <v>0.82</v>
      </c>
      <c r="AA6" s="131" t="s">
        <v>14</v>
      </c>
      <c r="AB6" s="129" t="s">
        <v>126</v>
      </c>
      <c r="AC6" s="129">
        <v>0</v>
      </c>
      <c r="AD6" s="132"/>
      <c r="AE6" t="s">
        <v>166</v>
      </c>
      <c r="AF6" t="s">
        <v>168</v>
      </c>
      <c r="AG6">
        <v>300</v>
      </c>
      <c r="AH6">
        <v>1.1942999999999999</v>
      </c>
      <c r="AI6">
        <v>0</v>
      </c>
    </row>
    <row r="7" spans="1:35" x14ac:dyDescent="0.35">
      <c r="A7" s="27" t="s">
        <v>36</v>
      </c>
      <c r="B7" s="31">
        <v>1.46</v>
      </c>
      <c r="C7" s="27" t="s">
        <v>37</v>
      </c>
      <c r="D7" s="27" t="s">
        <v>38</v>
      </c>
      <c r="E7" s="264">
        <v>0.4</v>
      </c>
      <c r="F7" s="29" t="s">
        <v>39</v>
      </c>
      <c r="G7" s="48">
        <v>0.88</v>
      </c>
      <c r="H7" s="29" t="s">
        <v>40</v>
      </c>
      <c r="I7" s="264">
        <v>1.2</v>
      </c>
      <c r="J7" s="30" t="s">
        <v>108</v>
      </c>
      <c r="K7" s="253">
        <v>14.117000000000001</v>
      </c>
      <c r="L7" s="248" t="s">
        <v>17</v>
      </c>
      <c r="M7" s="250">
        <v>0.46129999999999999</v>
      </c>
      <c r="N7" s="55" t="s">
        <v>113</v>
      </c>
      <c r="O7" s="150" t="s">
        <v>112</v>
      </c>
      <c r="P7" s="56" t="s">
        <v>114</v>
      </c>
      <c r="Q7" s="144" t="s">
        <v>17</v>
      </c>
      <c r="R7" s="114">
        <v>3.28</v>
      </c>
      <c r="S7" s="64" t="s">
        <v>17</v>
      </c>
      <c r="T7" s="114">
        <v>2.4087999999999998</v>
      </c>
      <c r="U7" s="64" t="s">
        <v>17</v>
      </c>
      <c r="V7" s="114">
        <v>0.31780000000000003</v>
      </c>
      <c r="W7" s="64" t="s">
        <v>17</v>
      </c>
      <c r="X7" s="114">
        <v>0.51249999999999996</v>
      </c>
      <c r="Y7" s="64" t="s">
        <v>17</v>
      </c>
      <c r="Z7" s="120">
        <v>0.82</v>
      </c>
      <c r="AA7" s="131"/>
      <c r="AB7" s="129" t="s">
        <v>130</v>
      </c>
      <c r="AC7" s="129">
        <v>4.9200000000000001E-2</v>
      </c>
      <c r="AD7" s="132"/>
      <c r="AE7" t="s">
        <v>166</v>
      </c>
      <c r="AF7" t="s">
        <v>167</v>
      </c>
      <c r="AG7">
        <v>400</v>
      </c>
      <c r="AH7">
        <v>0.54010000000000002</v>
      </c>
      <c r="AI7">
        <v>0.19</v>
      </c>
    </row>
    <row r="8" spans="1:35" x14ac:dyDescent="0.35">
      <c r="A8" s="27" t="s">
        <v>41</v>
      </c>
      <c r="B8" s="31">
        <v>1.64</v>
      </c>
      <c r="C8" s="27" t="s">
        <v>42</v>
      </c>
      <c r="D8" s="27" t="s">
        <v>43</v>
      </c>
      <c r="E8" s="264">
        <v>0.4</v>
      </c>
      <c r="F8" s="29" t="s">
        <v>44</v>
      </c>
      <c r="G8" s="48">
        <v>1</v>
      </c>
      <c r="H8" s="29" t="s">
        <v>45</v>
      </c>
      <c r="I8" s="48">
        <v>2.63</v>
      </c>
      <c r="J8" s="30" t="s">
        <v>109</v>
      </c>
      <c r="K8" s="254">
        <v>0.35799999999999998</v>
      </c>
      <c r="L8" s="248" t="s">
        <v>46</v>
      </c>
      <c r="M8" s="250">
        <v>0.23580000000000001</v>
      </c>
      <c r="N8" s="57">
        <v>1</v>
      </c>
      <c r="O8" s="151">
        <v>40</v>
      </c>
      <c r="P8" s="58">
        <f>ROUND(1-(100/(O8+100)),6)</f>
        <v>0.28571400000000002</v>
      </c>
      <c r="Q8" s="144" t="s">
        <v>46</v>
      </c>
      <c r="R8" s="114">
        <v>2.46</v>
      </c>
      <c r="S8" s="64" t="s">
        <v>46</v>
      </c>
      <c r="T8" s="114">
        <v>1.2198</v>
      </c>
      <c r="U8" s="64" t="s">
        <v>46</v>
      </c>
      <c r="V8" s="114">
        <v>0.1948</v>
      </c>
      <c r="W8" s="64" t="s">
        <v>46</v>
      </c>
      <c r="X8" s="114">
        <v>0.48180000000000001</v>
      </c>
      <c r="Y8" s="64" t="s">
        <v>46</v>
      </c>
      <c r="Z8" s="120">
        <v>0.53300000000000003</v>
      </c>
      <c r="AA8" s="131"/>
      <c r="AB8" s="129" t="s">
        <v>133</v>
      </c>
      <c r="AC8" s="129">
        <v>0.12280000000000001</v>
      </c>
      <c r="AD8" s="132"/>
      <c r="AE8" t="s">
        <v>166</v>
      </c>
      <c r="AF8" t="s">
        <v>168</v>
      </c>
      <c r="AG8">
        <v>400</v>
      </c>
      <c r="AH8">
        <v>0.54010000000000002</v>
      </c>
      <c r="AI8">
        <v>0</v>
      </c>
    </row>
    <row r="9" spans="1:35" x14ac:dyDescent="0.35">
      <c r="A9" s="27" t="s">
        <v>47</v>
      </c>
      <c r="B9" s="31">
        <v>0.82</v>
      </c>
      <c r="C9" s="27"/>
      <c r="D9" s="27" t="s">
        <v>48</v>
      </c>
      <c r="E9" s="264">
        <v>0.4</v>
      </c>
      <c r="F9" s="29" t="s">
        <v>49</v>
      </c>
      <c r="G9" s="48">
        <v>0.81</v>
      </c>
      <c r="H9" s="29" t="s">
        <v>50</v>
      </c>
      <c r="I9" s="48">
        <v>4</v>
      </c>
      <c r="J9" s="50" t="s">
        <v>110</v>
      </c>
      <c r="K9" s="255">
        <v>0.745</v>
      </c>
      <c r="L9" s="249" t="s">
        <v>15</v>
      </c>
      <c r="M9" s="251">
        <v>0.1128</v>
      </c>
      <c r="N9" s="59">
        <v>0</v>
      </c>
      <c r="O9" s="152">
        <v>153</v>
      </c>
      <c r="P9" s="60">
        <f>ROUND(1-(100/(O9+100)),6)</f>
        <v>0.60474300000000003</v>
      </c>
      <c r="Q9" s="144" t="s">
        <v>15</v>
      </c>
      <c r="R9" s="114">
        <v>1.9475</v>
      </c>
      <c r="S9" s="65" t="s">
        <v>15</v>
      </c>
      <c r="T9" s="115">
        <v>0.55349999999999999</v>
      </c>
      <c r="U9" s="65" t="s">
        <v>15</v>
      </c>
      <c r="V9" s="115">
        <v>0.1948</v>
      </c>
      <c r="W9" s="65" t="s">
        <v>15</v>
      </c>
      <c r="X9" s="115">
        <v>0.48180000000000001</v>
      </c>
      <c r="Y9" s="65" t="s">
        <v>15</v>
      </c>
      <c r="Z9" s="130">
        <v>0.53300000000000003</v>
      </c>
      <c r="AA9" s="131"/>
      <c r="AB9" s="129" t="s">
        <v>135</v>
      </c>
      <c r="AC9" s="129">
        <v>0.12280000000000001</v>
      </c>
      <c r="AD9" s="132"/>
      <c r="AE9" t="s">
        <v>169</v>
      </c>
      <c r="AF9" t="s">
        <v>167</v>
      </c>
      <c r="AG9">
        <v>100</v>
      </c>
      <c r="AH9">
        <v>1.4435</v>
      </c>
      <c r="AI9">
        <v>0.5</v>
      </c>
    </row>
    <row r="10" spans="1:35" x14ac:dyDescent="0.35">
      <c r="A10" s="27" t="s">
        <v>51</v>
      </c>
      <c r="B10" s="31">
        <v>0.08</v>
      </c>
      <c r="C10" s="27"/>
      <c r="D10" s="27" t="s">
        <v>52</v>
      </c>
      <c r="E10" s="264">
        <v>0.4</v>
      </c>
      <c r="F10" s="29" t="s">
        <v>53</v>
      </c>
      <c r="G10" s="48">
        <v>0.51</v>
      </c>
      <c r="H10" s="29" t="s">
        <v>54</v>
      </c>
      <c r="I10" s="48">
        <v>1.81</v>
      </c>
      <c r="J10" s="209" t="s">
        <v>111</v>
      </c>
      <c r="K10" s="256">
        <v>0.35799999999999998</v>
      </c>
      <c r="L10" s="210"/>
      <c r="M10" s="211"/>
      <c r="N10" s="61" t="s">
        <v>115</v>
      </c>
      <c r="O10" s="149"/>
      <c r="P10" s="62"/>
      <c r="Q10" s="145"/>
      <c r="R10" s="66"/>
      <c r="AA10" s="133"/>
      <c r="AB10" s="134" t="s">
        <v>141</v>
      </c>
      <c r="AC10" s="135">
        <v>0.12280000000000001</v>
      </c>
      <c r="AD10" s="136"/>
      <c r="AE10" t="s">
        <v>169</v>
      </c>
      <c r="AF10" t="s">
        <v>167</v>
      </c>
      <c r="AG10">
        <v>200</v>
      </c>
      <c r="AH10">
        <v>2.347</v>
      </c>
      <c r="AI10">
        <v>0.5</v>
      </c>
    </row>
    <row r="11" spans="1:35" x14ac:dyDescent="0.35">
      <c r="A11" s="27" t="s">
        <v>55</v>
      </c>
      <c r="B11" s="31">
        <v>1.88</v>
      </c>
      <c r="C11" s="27"/>
      <c r="D11" s="27" t="s">
        <v>56</v>
      </c>
      <c r="E11" s="264">
        <v>0.4</v>
      </c>
      <c r="F11" s="29" t="s">
        <v>57</v>
      </c>
      <c r="G11" s="48">
        <v>0.72</v>
      </c>
      <c r="H11" s="29" t="s">
        <v>58</v>
      </c>
      <c r="I11" s="264">
        <v>1.1000000000000001</v>
      </c>
      <c r="J11" s="27"/>
      <c r="K11" s="32"/>
      <c r="L11" s="33"/>
      <c r="M11" s="143"/>
      <c r="N11" s="55" t="s">
        <v>113</v>
      </c>
      <c r="O11" s="150" t="s">
        <v>112</v>
      </c>
      <c r="P11" s="56" t="s">
        <v>114</v>
      </c>
      <c r="AA11" s="133"/>
      <c r="AB11" s="134" t="s">
        <v>142</v>
      </c>
      <c r="AC11" s="135">
        <v>0.12280000000000001</v>
      </c>
      <c r="AD11" s="136"/>
      <c r="AE11" t="s">
        <v>169</v>
      </c>
      <c r="AF11" t="s">
        <v>167</v>
      </c>
      <c r="AG11">
        <v>300</v>
      </c>
      <c r="AH11">
        <v>1.1942999999999999</v>
      </c>
      <c r="AI11">
        <v>0.47</v>
      </c>
    </row>
    <row r="12" spans="1:35" x14ac:dyDescent="0.35">
      <c r="A12" s="27" t="s">
        <v>59</v>
      </c>
      <c r="B12" s="265">
        <v>0.93</v>
      </c>
      <c r="C12" s="27"/>
      <c r="D12" s="27" t="s">
        <v>60</v>
      </c>
      <c r="E12" s="264">
        <v>0.4</v>
      </c>
      <c r="F12" s="29" t="s">
        <v>61</v>
      </c>
      <c r="G12" s="48">
        <v>1.1200000000000001</v>
      </c>
      <c r="H12" s="29" t="s">
        <v>64</v>
      </c>
      <c r="I12" s="48">
        <v>2.44</v>
      </c>
      <c r="J12" s="27"/>
      <c r="K12" s="32"/>
      <c r="L12" s="33"/>
      <c r="M12" s="143"/>
      <c r="N12" s="57">
        <v>1</v>
      </c>
      <c r="O12" s="153">
        <v>40</v>
      </c>
      <c r="P12" s="58">
        <f>ROUND(1-(100/(O12+100)),6)</f>
        <v>0.28571400000000002</v>
      </c>
      <c r="AA12" s="133"/>
      <c r="AB12" s="134" t="s">
        <v>143</v>
      </c>
      <c r="AC12" s="135">
        <v>0.12280000000000001</v>
      </c>
      <c r="AD12" s="136"/>
      <c r="AE12" t="s">
        <v>169</v>
      </c>
      <c r="AF12" t="s">
        <v>168</v>
      </c>
      <c r="AG12">
        <v>300</v>
      </c>
      <c r="AH12">
        <v>1.1942999999999999</v>
      </c>
      <c r="AI12">
        <v>0</v>
      </c>
    </row>
    <row r="13" spans="1:35" x14ac:dyDescent="0.35">
      <c r="A13" s="27"/>
      <c r="B13" s="34"/>
      <c r="C13" s="27"/>
      <c r="D13" s="27" t="s">
        <v>62</v>
      </c>
      <c r="E13" s="264">
        <v>0.4</v>
      </c>
      <c r="F13" s="29" t="s">
        <v>63</v>
      </c>
      <c r="G13" s="48">
        <v>1.01</v>
      </c>
      <c r="H13" s="29" t="s">
        <v>68</v>
      </c>
      <c r="I13" s="264">
        <v>1.5</v>
      </c>
      <c r="J13" s="27"/>
      <c r="K13" s="32"/>
      <c r="L13" s="33"/>
      <c r="M13" s="143"/>
      <c r="N13" s="59">
        <v>0</v>
      </c>
      <c r="O13" s="154">
        <v>95</v>
      </c>
      <c r="P13" s="60">
        <f>ROUND(1-(100/(O13+100)),6)</f>
        <v>0.48717899999999997</v>
      </c>
      <c r="AA13" s="133"/>
      <c r="AB13" s="134" t="s">
        <v>136</v>
      </c>
      <c r="AC13" s="135">
        <v>0.24560000000000001</v>
      </c>
      <c r="AD13" s="136"/>
      <c r="AE13" t="s">
        <v>169</v>
      </c>
      <c r="AF13" t="s">
        <v>167</v>
      </c>
      <c r="AG13">
        <v>400</v>
      </c>
      <c r="AH13">
        <v>0.54010000000000002</v>
      </c>
      <c r="AI13">
        <v>0.47</v>
      </c>
    </row>
    <row r="14" spans="1:35" x14ac:dyDescent="0.35">
      <c r="A14" s="27" t="s">
        <v>65</v>
      </c>
      <c r="B14" s="34"/>
      <c r="C14" s="27"/>
      <c r="D14" s="27" t="s">
        <v>66</v>
      </c>
      <c r="E14" s="264">
        <v>0.4</v>
      </c>
      <c r="F14" s="29" t="s">
        <v>67</v>
      </c>
      <c r="G14" s="48">
        <v>0.36</v>
      </c>
      <c r="H14" s="29" t="s">
        <v>71</v>
      </c>
      <c r="I14" s="48">
        <v>1.55</v>
      </c>
      <c r="J14" s="27"/>
      <c r="K14" s="32"/>
      <c r="L14" s="33"/>
      <c r="M14" s="143"/>
      <c r="N14" s="53" t="s">
        <v>116</v>
      </c>
      <c r="O14" s="149"/>
      <c r="P14" s="54"/>
      <c r="AA14" s="133"/>
      <c r="AB14" s="134" t="s">
        <v>144</v>
      </c>
      <c r="AC14" s="135">
        <v>0</v>
      </c>
      <c r="AD14" s="136"/>
      <c r="AE14" t="s">
        <v>169</v>
      </c>
      <c r="AF14" t="s">
        <v>168</v>
      </c>
      <c r="AG14">
        <v>400</v>
      </c>
      <c r="AH14">
        <v>0.54010000000000002</v>
      </c>
      <c r="AI14">
        <v>0</v>
      </c>
    </row>
    <row r="15" spans="1:35" x14ac:dyDescent="0.35">
      <c r="A15" s="27" t="s">
        <v>31</v>
      </c>
      <c r="B15" s="28">
        <v>1</v>
      </c>
      <c r="C15" s="27"/>
      <c r="D15" s="27" t="s">
        <v>69</v>
      </c>
      <c r="E15" s="264">
        <v>0.4</v>
      </c>
      <c r="F15" s="29" t="s">
        <v>70</v>
      </c>
      <c r="G15" s="48">
        <v>0.3</v>
      </c>
      <c r="H15" s="29" t="s">
        <v>74</v>
      </c>
      <c r="I15" s="48">
        <v>1.8</v>
      </c>
      <c r="J15" s="27"/>
      <c r="K15" s="32"/>
      <c r="L15" s="33"/>
      <c r="M15" s="143"/>
      <c r="N15" s="55" t="s">
        <v>113</v>
      </c>
      <c r="O15" s="150" t="s">
        <v>112</v>
      </c>
      <c r="P15" s="56" t="s">
        <v>114</v>
      </c>
      <c r="AA15" s="133"/>
      <c r="AB15" s="134" t="s">
        <v>138</v>
      </c>
      <c r="AC15" s="135">
        <v>0.12280000000000001</v>
      </c>
      <c r="AD15" s="136"/>
      <c r="AE15" t="s">
        <v>170</v>
      </c>
      <c r="AF15" t="s">
        <v>167</v>
      </c>
      <c r="AG15" t="s">
        <v>171</v>
      </c>
      <c r="AH15">
        <v>1.4435</v>
      </c>
      <c r="AI15">
        <v>0.8</v>
      </c>
    </row>
    <row r="16" spans="1:35" x14ac:dyDescent="0.35">
      <c r="A16" s="27"/>
      <c r="B16" s="34"/>
      <c r="C16" s="27"/>
      <c r="D16" s="27" t="s">
        <v>72</v>
      </c>
      <c r="E16" s="264">
        <v>0.18</v>
      </c>
      <c r="F16" s="29" t="s">
        <v>73</v>
      </c>
      <c r="G16" s="48">
        <v>2.0299999999999998</v>
      </c>
      <c r="H16" s="29" t="s">
        <v>77</v>
      </c>
      <c r="I16" s="48">
        <v>4</v>
      </c>
      <c r="J16" s="27"/>
      <c r="K16" s="32"/>
      <c r="L16" s="33"/>
      <c r="M16" s="143"/>
      <c r="N16" s="27">
        <v>1</v>
      </c>
      <c r="O16" s="153">
        <v>40</v>
      </c>
      <c r="P16" s="58">
        <f>ROUND(1-(100/(O16+100)),6)</f>
        <v>0.28571400000000002</v>
      </c>
      <c r="AA16" s="133"/>
      <c r="AB16" s="134" t="s">
        <v>139</v>
      </c>
      <c r="AC16" s="135">
        <v>0</v>
      </c>
      <c r="AD16" s="136"/>
      <c r="AE16" t="s">
        <v>170</v>
      </c>
      <c r="AF16" t="s">
        <v>167</v>
      </c>
      <c r="AG16" t="s">
        <v>172</v>
      </c>
      <c r="AH16">
        <v>2.347</v>
      </c>
      <c r="AI16">
        <v>0.8</v>
      </c>
    </row>
    <row r="17" spans="1:35" x14ac:dyDescent="0.35">
      <c r="A17" s="27"/>
      <c r="B17" s="34"/>
      <c r="C17" s="27"/>
      <c r="D17" s="27" t="s">
        <v>75</v>
      </c>
      <c r="E17" s="264">
        <v>0.18</v>
      </c>
      <c r="F17" s="29" t="s">
        <v>76</v>
      </c>
      <c r="G17" s="48">
        <v>1.32</v>
      </c>
      <c r="H17" s="29" t="s">
        <v>80</v>
      </c>
      <c r="I17" s="48">
        <v>4</v>
      </c>
      <c r="J17" s="27"/>
      <c r="K17" s="32"/>
      <c r="L17" s="33"/>
      <c r="M17" s="143"/>
      <c r="N17" s="27">
        <v>2</v>
      </c>
      <c r="O17" s="153">
        <v>70</v>
      </c>
      <c r="P17" s="58">
        <f>ROUND(1-(100/(O17+100)),6)</f>
        <v>0.41176499999999999</v>
      </c>
      <c r="AA17" s="133"/>
      <c r="AB17" s="134"/>
      <c r="AC17" s="137"/>
      <c r="AD17" s="136"/>
      <c r="AE17" t="s">
        <v>170</v>
      </c>
      <c r="AF17" t="s">
        <v>167</v>
      </c>
      <c r="AG17" t="s">
        <v>173</v>
      </c>
      <c r="AH17">
        <v>1.1942999999999999</v>
      </c>
      <c r="AI17">
        <v>0.52</v>
      </c>
    </row>
    <row r="18" spans="1:35" x14ac:dyDescent="0.35">
      <c r="A18" s="27"/>
      <c r="B18" s="34"/>
      <c r="C18" s="27"/>
      <c r="D18" s="27" t="s">
        <v>78</v>
      </c>
      <c r="E18" s="264">
        <v>0.18</v>
      </c>
      <c r="F18" s="29" t="s">
        <v>79</v>
      </c>
      <c r="G18" s="48">
        <v>1.92</v>
      </c>
      <c r="H18" s="29" t="s">
        <v>83</v>
      </c>
      <c r="I18" s="48">
        <v>1.47</v>
      </c>
      <c r="J18" s="27"/>
      <c r="K18" s="32"/>
      <c r="L18" s="33"/>
      <c r="M18" s="143"/>
      <c r="N18" s="59">
        <v>0</v>
      </c>
      <c r="O18" s="154">
        <v>95</v>
      </c>
      <c r="P18" s="60">
        <f>ROUND(1-(100/(O18+100)),6)</f>
        <v>0.48717899999999997</v>
      </c>
      <c r="AA18" s="133" t="s">
        <v>17</v>
      </c>
      <c r="AB18" s="134" t="s">
        <v>200</v>
      </c>
      <c r="AC18" s="135">
        <v>2.8199999999999999E-2</v>
      </c>
      <c r="AD18" s="136"/>
      <c r="AE18" t="s">
        <v>170</v>
      </c>
      <c r="AF18" t="s">
        <v>168</v>
      </c>
      <c r="AG18" t="s">
        <v>173</v>
      </c>
      <c r="AH18">
        <v>1.1942999999999999</v>
      </c>
      <c r="AI18">
        <v>0</v>
      </c>
    </row>
    <row r="19" spans="1:35" x14ac:dyDescent="0.35">
      <c r="A19" s="27"/>
      <c r="B19" s="34"/>
      <c r="C19" s="27"/>
      <c r="D19" s="27" t="s">
        <v>81</v>
      </c>
      <c r="E19" s="264">
        <v>0.4</v>
      </c>
      <c r="F19" s="29" t="s">
        <v>82</v>
      </c>
      <c r="G19" s="48">
        <v>0.82</v>
      </c>
      <c r="H19" s="29" t="s">
        <v>86</v>
      </c>
      <c r="I19" s="264">
        <v>1.2</v>
      </c>
      <c r="J19" s="27"/>
      <c r="K19" s="32"/>
      <c r="L19" s="33"/>
      <c r="M19" s="143"/>
      <c r="N19" s="61" t="s">
        <v>15</v>
      </c>
      <c r="O19" s="149"/>
      <c r="P19" s="62"/>
      <c r="AA19" s="133"/>
      <c r="AB19" s="134" t="s">
        <v>201</v>
      </c>
      <c r="AC19" s="135">
        <v>7.0400000000000004E-2</v>
      </c>
      <c r="AD19" s="136"/>
      <c r="AE19" t="s">
        <v>170</v>
      </c>
      <c r="AF19" t="s">
        <v>167</v>
      </c>
      <c r="AG19" t="s">
        <v>174</v>
      </c>
      <c r="AH19">
        <v>0.54010000000000002</v>
      </c>
      <c r="AI19">
        <v>0.52</v>
      </c>
    </row>
    <row r="20" spans="1:35" x14ac:dyDescent="0.35">
      <c r="A20" s="27"/>
      <c r="B20" s="34"/>
      <c r="C20" s="27"/>
      <c r="D20" s="27" t="s">
        <v>84</v>
      </c>
      <c r="E20" s="264">
        <v>0.4</v>
      </c>
      <c r="F20" s="29" t="s">
        <v>85</v>
      </c>
      <c r="G20" s="48">
        <v>0.8</v>
      </c>
      <c r="H20" s="29" t="s">
        <v>91</v>
      </c>
      <c r="I20" s="48">
        <v>1.5</v>
      </c>
      <c r="J20" s="27"/>
      <c r="K20" s="32"/>
      <c r="L20" s="33"/>
      <c r="M20" s="143"/>
      <c r="N20" s="55" t="s">
        <v>30</v>
      </c>
      <c r="O20" s="155" t="s">
        <v>117</v>
      </c>
      <c r="P20" s="63"/>
      <c r="AA20" s="133"/>
      <c r="AB20" s="134" t="s">
        <v>202</v>
      </c>
      <c r="AC20" s="135">
        <v>8.5199999999999998E-2</v>
      </c>
      <c r="AD20" s="136"/>
      <c r="AE20" t="s">
        <v>170</v>
      </c>
      <c r="AF20" t="s">
        <v>168</v>
      </c>
      <c r="AG20" t="s">
        <v>174</v>
      </c>
      <c r="AH20">
        <v>0.54010000000000002</v>
      </c>
      <c r="AI20">
        <v>0</v>
      </c>
    </row>
    <row r="21" spans="1:35" x14ac:dyDescent="0.35">
      <c r="A21" s="27"/>
      <c r="B21" s="34"/>
      <c r="C21" s="27"/>
      <c r="D21" s="27" t="s">
        <v>87</v>
      </c>
      <c r="E21" s="264">
        <v>0.4</v>
      </c>
      <c r="F21" s="29" t="s">
        <v>88</v>
      </c>
      <c r="G21" s="48">
        <v>1.06</v>
      </c>
      <c r="H21" s="29" t="s">
        <v>94</v>
      </c>
      <c r="I21" s="48">
        <v>1.87</v>
      </c>
      <c r="J21" s="27"/>
      <c r="K21" s="32"/>
      <c r="L21" s="33"/>
      <c r="M21" s="143"/>
      <c r="N21" s="27">
        <v>1</v>
      </c>
      <c r="O21" s="266">
        <v>29.5</v>
      </c>
      <c r="P21" s="58">
        <f>ROUND(1-(100/(O21+100)),6)</f>
        <v>0.227799</v>
      </c>
      <c r="AA21" s="133"/>
      <c r="AB21" s="134" t="s">
        <v>203</v>
      </c>
      <c r="AC21" s="135">
        <v>7.7799999999999994E-2</v>
      </c>
      <c r="AD21" s="136"/>
      <c r="AE21" t="s">
        <v>175</v>
      </c>
      <c r="AF21" t="s">
        <v>167</v>
      </c>
      <c r="AG21">
        <v>100</v>
      </c>
      <c r="AH21">
        <v>1.4435</v>
      </c>
      <c r="AI21">
        <v>0.31</v>
      </c>
    </row>
    <row r="22" spans="1:35" x14ac:dyDescent="0.35">
      <c r="A22" s="27"/>
      <c r="B22" s="34"/>
      <c r="C22" s="27"/>
      <c r="D22" s="27" t="s">
        <v>89</v>
      </c>
      <c r="E22" s="264">
        <v>0.4</v>
      </c>
      <c r="F22" s="29" t="s">
        <v>90</v>
      </c>
      <c r="G22" s="48">
        <v>1.75</v>
      </c>
      <c r="H22" s="29" t="s">
        <v>97</v>
      </c>
      <c r="I22" s="48">
        <v>1.47</v>
      </c>
      <c r="J22" s="27"/>
      <c r="K22" s="32"/>
      <c r="L22" s="33"/>
      <c r="M22" s="143"/>
      <c r="N22" s="59">
        <v>0</v>
      </c>
      <c r="O22" s="152">
        <v>78</v>
      </c>
      <c r="P22" s="60">
        <f>ROUND(1-(100/(O22+100)),6)</f>
        <v>0.43820199999999998</v>
      </c>
      <c r="AA22" s="133"/>
      <c r="AB22" s="134" t="s">
        <v>207</v>
      </c>
      <c r="AC22" s="135">
        <v>9.2499999999999999E-2</v>
      </c>
      <c r="AD22" s="136"/>
      <c r="AE22" t="s">
        <v>175</v>
      </c>
      <c r="AF22" t="s">
        <v>167</v>
      </c>
      <c r="AG22">
        <v>200</v>
      </c>
      <c r="AH22">
        <v>2.347</v>
      </c>
      <c r="AI22">
        <v>0.31</v>
      </c>
    </row>
    <row r="23" spans="1:35" x14ac:dyDescent="0.35">
      <c r="A23" s="27"/>
      <c r="B23" s="34"/>
      <c r="C23" s="27"/>
      <c r="D23" s="27" t="s">
        <v>92</v>
      </c>
      <c r="E23" s="264">
        <v>0.4</v>
      </c>
      <c r="F23" s="29" t="s">
        <v>93</v>
      </c>
      <c r="G23" s="48">
        <v>1</v>
      </c>
      <c r="H23" s="29" t="s">
        <v>99</v>
      </c>
      <c r="I23" s="48">
        <v>2.08</v>
      </c>
      <c r="J23" s="27"/>
      <c r="K23" s="32"/>
      <c r="L23" s="33"/>
      <c r="M23" s="143"/>
      <c r="AA23" s="133"/>
      <c r="AB23" s="134" t="s">
        <v>196</v>
      </c>
      <c r="AC23" s="135">
        <v>1.8700000000000001E-2</v>
      </c>
      <c r="AD23" s="136"/>
      <c r="AE23" t="s">
        <v>175</v>
      </c>
      <c r="AF23" t="s">
        <v>167</v>
      </c>
      <c r="AG23">
        <v>300</v>
      </c>
      <c r="AH23">
        <v>1.1942999999999999</v>
      </c>
      <c r="AI23">
        <v>0.19</v>
      </c>
    </row>
    <row r="24" spans="1:35" ht="15.5" customHeight="1" x14ac:dyDescent="0.35">
      <c r="A24" s="27"/>
      <c r="B24" s="34"/>
      <c r="C24" s="27"/>
      <c r="D24" s="27" t="s">
        <v>261</v>
      </c>
      <c r="E24" s="264">
        <v>0.4</v>
      </c>
      <c r="F24" s="29" t="s">
        <v>96</v>
      </c>
      <c r="G24" s="48">
        <v>0</v>
      </c>
      <c r="H24" s="29" t="s">
        <v>100</v>
      </c>
      <c r="I24" s="48">
        <v>1.1100000000000001</v>
      </c>
      <c r="J24" s="27"/>
      <c r="K24" s="32"/>
      <c r="L24" s="33"/>
      <c r="M24" s="143"/>
      <c r="AA24" s="133"/>
      <c r="AB24" s="134" t="s">
        <v>197</v>
      </c>
      <c r="AC24" s="135">
        <v>4.6800000000000001E-2</v>
      </c>
      <c r="AD24" s="136"/>
      <c r="AE24" t="s">
        <v>175</v>
      </c>
      <c r="AF24" t="s">
        <v>167</v>
      </c>
      <c r="AG24">
        <v>400</v>
      </c>
      <c r="AH24">
        <v>0.54010000000000002</v>
      </c>
      <c r="AI24">
        <v>0.19</v>
      </c>
    </row>
    <row r="25" spans="1:35" x14ac:dyDescent="0.35">
      <c r="A25" s="27"/>
      <c r="B25" s="34"/>
      <c r="C25" s="27"/>
      <c r="D25" s="27" t="s">
        <v>262</v>
      </c>
      <c r="E25" s="264">
        <v>0.4</v>
      </c>
      <c r="F25" s="29"/>
      <c r="G25" s="28"/>
      <c r="H25" s="29" t="s">
        <v>101</v>
      </c>
      <c r="I25" s="48">
        <v>1.85</v>
      </c>
      <c r="J25" s="27"/>
      <c r="K25" s="32"/>
      <c r="L25" s="33"/>
      <c r="M25" s="143"/>
      <c r="AA25" s="133"/>
      <c r="AB25" s="134" t="s">
        <v>198</v>
      </c>
      <c r="AC25" s="135">
        <v>0</v>
      </c>
      <c r="AD25" s="136"/>
      <c r="AE25" t="s">
        <v>175</v>
      </c>
      <c r="AF25" t="s">
        <v>168</v>
      </c>
      <c r="AG25">
        <v>300</v>
      </c>
      <c r="AH25">
        <v>1.1942999999999999</v>
      </c>
      <c r="AI25">
        <v>0</v>
      </c>
    </row>
    <row r="26" spans="1:35" x14ac:dyDescent="0.35">
      <c r="A26" s="27"/>
      <c r="B26" s="34"/>
      <c r="C26" s="27"/>
      <c r="D26" s="27" t="s">
        <v>95</v>
      </c>
      <c r="E26" s="264">
        <v>0.4</v>
      </c>
      <c r="F26" s="29"/>
      <c r="G26" s="28"/>
      <c r="H26" s="29" t="s">
        <v>102</v>
      </c>
      <c r="I26" s="48">
        <v>1.71</v>
      </c>
      <c r="J26" s="27"/>
      <c r="K26" s="32"/>
      <c r="L26" s="33"/>
      <c r="M26" s="143"/>
      <c r="AA26" s="133"/>
      <c r="AB26" s="134" t="s">
        <v>199</v>
      </c>
      <c r="AC26" s="135">
        <v>0</v>
      </c>
      <c r="AD26" s="136"/>
      <c r="AE26" t="s">
        <v>175</v>
      </c>
      <c r="AF26" t="s">
        <v>168</v>
      </c>
      <c r="AG26">
        <v>400</v>
      </c>
      <c r="AH26">
        <v>0.54010000000000002</v>
      </c>
      <c r="AI26">
        <v>0</v>
      </c>
    </row>
    <row r="27" spans="1:35" x14ac:dyDescent="0.35">
      <c r="A27" s="27"/>
      <c r="B27" s="34"/>
      <c r="C27" s="27"/>
      <c r="D27" s="27" t="s">
        <v>98</v>
      </c>
      <c r="E27" s="48">
        <v>0</v>
      </c>
      <c r="F27" s="29"/>
      <c r="G27" s="28"/>
      <c r="H27" s="29" t="s">
        <v>103</v>
      </c>
      <c r="I27" s="48">
        <v>0.98</v>
      </c>
      <c r="J27" s="27"/>
      <c r="K27" s="32"/>
      <c r="L27" s="33"/>
      <c r="AA27" s="133"/>
      <c r="AB27" s="134" t="s">
        <v>131</v>
      </c>
      <c r="AC27" s="135">
        <v>0</v>
      </c>
      <c r="AD27" s="136"/>
    </row>
    <row r="28" spans="1:35" x14ac:dyDescent="0.35">
      <c r="A28" s="27"/>
      <c r="B28" s="34"/>
      <c r="C28" s="27"/>
      <c r="D28" s="27" t="s">
        <v>96</v>
      </c>
      <c r="E28" s="48">
        <v>0</v>
      </c>
      <c r="F28" s="29"/>
      <c r="G28" s="28"/>
      <c r="H28" s="29" t="s">
        <v>104</v>
      </c>
      <c r="I28" s="48">
        <v>1.64</v>
      </c>
      <c r="J28" s="27"/>
      <c r="K28" s="32"/>
      <c r="L28" s="33"/>
      <c r="AA28" s="133"/>
      <c r="AB28" s="134" t="s">
        <v>284</v>
      </c>
      <c r="AC28" s="135">
        <v>4.6800000000000001E-2</v>
      </c>
      <c r="AD28" s="136"/>
    </row>
    <row r="29" spans="1:35" x14ac:dyDescent="0.35">
      <c r="A29" s="27"/>
      <c r="B29" s="34"/>
      <c r="C29" s="27"/>
      <c r="D29" s="27"/>
      <c r="E29" s="28"/>
      <c r="F29" s="29"/>
      <c r="G29" s="28"/>
      <c r="H29" s="29" t="s">
        <v>105</v>
      </c>
      <c r="I29" s="48">
        <v>1.27</v>
      </c>
      <c r="J29" s="27"/>
      <c r="K29" s="32"/>
      <c r="L29" s="33"/>
      <c r="AA29" s="133"/>
      <c r="AB29" s="134" t="s">
        <v>285</v>
      </c>
      <c r="AC29" s="135">
        <v>0</v>
      </c>
      <c r="AD29" s="136"/>
    </row>
    <row r="30" spans="1:35" x14ac:dyDescent="0.35">
      <c r="A30" s="27"/>
      <c r="B30" s="34"/>
      <c r="C30" s="27"/>
      <c r="D30" s="27"/>
      <c r="E30" s="28"/>
      <c r="F30" s="29"/>
      <c r="G30" s="28"/>
      <c r="H30" s="29" t="s">
        <v>106</v>
      </c>
      <c r="I30" s="264">
        <v>1.1000000000000001</v>
      </c>
      <c r="J30" s="27"/>
      <c r="K30" s="32"/>
      <c r="L30" s="33"/>
      <c r="AA30" s="133"/>
      <c r="AB30" s="134" t="s">
        <v>276</v>
      </c>
      <c r="AC30" s="135">
        <v>1.8700000000000001E-2</v>
      </c>
      <c r="AD30" s="136"/>
    </row>
    <row r="31" spans="1:35" x14ac:dyDescent="0.35">
      <c r="A31" s="27"/>
      <c r="B31" s="34"/>
      <c r="C31" s="27"/>
      <c r="D31" s="27"/>
      <c r="E31" s="28"/>
      <c r="F31" s="29"/>
      <c r="G31" s="28"/>
      <c r="H31" s="29" t="s">
        <v>107</v>
      </c>
      <c r="I31" s="48">
        <v>1.59</v>
      </c>
      <c r="J31" s="27"/>
      <c r="K31" s="32"/>
      <c r="L31" s="33"/>
      <c r="AA31" s="131" t="s">
        <v>118</v>
      </c>
      <c r="AB31" s="129" t="s">
        <v>128</v>
      </c>
      <c r="AC31" s="129">
        <v>0.28160000000000002</v>
      </c>
      <c r="AD31" s="132"/>
    </row>
    <row r="32" spans="1:35" x14ac:dyDescent="0.35">
      <c r="A32" s="27"/>
      <c r="B32" s="34"/>
      <c r="C32" s="27"/>
      <c r="D32" s="27"/>
      <c r="E32" s="28"/>
      <c r="F32" s="29"/>
      <c r="G32" s="28"/>
      <c r="H32" s="29" t="s">
        <v>263</v>
      </c>
      <c r="I32" s="48">
        <v>1.8</v>
      </c>
      <c r="J32" s="27"/>
      <c r="K32" s="32"/>
      <c r="L32" s="33"/>
      <c r="AA32" s="131"/>
      <c r="AB32" s="129" t="s">
        <v>145</v>
      </c>
      <c r="AC32" s="129">
        <v>0.12280000000000001</v>
      </c>
      <c r="AD32" s="132"/>
    </row>
    <row r="33" spans="1:30" ht="15" thickBot="1" x14ac:dyDescent="0.4">
      <c r="A33" s="27"/>
      <c r="B33" s="34"/>
      <c r="C33" s="27"/>
      <c r="D33" s="27"/>
      <c r="E33" s="28"/>
      <c r="F33" s="29"/>
      <c r="G33" s="28"/>
      <c r="H33" s="35" t="s">
        <v>96</v>
      </c>
      <c r="I33" s="49">
        <v>0</v>
      </c>
      <c r="J33" s="27"/>
      <c r="K33" s="32"/>
      <c r="L33" s="33"/>
      <c r="AA33" s="131"/>
      <c r="AB33" s="129" t="s">
        <v>146</v>
      </c>
      <c r="AC33" s="129">
        <v>0.12280000000000001</v>
      </c>
      <c r="AD33" s="132"/>
    </row>
    <row r="34" spans="1:30" x14ac:dyDescent="0.35">
      <c r="A34" s="27"/>
      <c r="B34" s="34"/>
      <c r="C34" s="27"/>
      <c r="D34" s="27"/>
      <c r="E34" s="28"/>
      <c r="F34" s="29"/>
      <c r="G34" s="28"/>
      <c r="J34" s="27"/>
      <c r="K34" s="32"/>
      <c r="L34" s="33"/>
      <c r="AA34" s="131"/>
      <c r="AB34" s="129" t="s">
        <v>147</v>
      </c>
      <c r="AC34" s="129">
        <v>0</v>
      </c>
      <c r="AD34" s="132"/>
    </row>
    <row r="35" spans="1:30" x14ac:dyDescent="0.35">
      <c r="A35" s="27"/>
      <c r="B35" s="34"/>
      <c r="C35" s="27"/>
      <c r="D35" s="27"/>
      <c r="E35" s="28"/>
      <c r="F35" s="29"/>
      <c r="G35" s="28"/>
      <c r="J35" s="27"/>
      <c r="K35" s="32"/>
      <c r="L35" s="33"/>
      <c r="AA35" s="133"/>
      <c r="AB35" s="134" t="s">
        <v>148</v>
      </c>
      <c r="AC35" s="135">
        <v>0.12280000000000001</v>
      </c>
      <c r="AD35" s="136"/>
    </row>
    <row r="36" spans="1:30" ht="15" thickBot="1" x14ac:dyDescent="0.4">
      <c r="A36" s="27"/>
      <c r="B36" s="34"/>
      <c r="C36" s="27"/>
      <c r="D36" s="37"/>
      <c r="E36" s="36"/>
      <c r="F36" s="35"/>
      <c r="G36" s="36"/>
      <c r="J36" s="27"/>
      <c r="K36" s="32"/>
      <c r="L36" s="33"/>
      <c r="AA36" s="133"/>
      <c r="AB36" s="134" t="s">
        <v>137</v>
      </c>
      <c r="AC36" s="135">
        <v>0.12280000000000001</v>
      </c>
      <c r="AD36" s="136"/>
    </row>
    <row r="37" spans="1:30" ht="15" thickBot="1" x14ac:dyDescent="0.4">
      <c r="A37" s="37"/>
      <c r="B37" s="38"/>
      <c r="C37" s="37"/>
      <c r="D37" s="45"/>
      <c r="E37" s="47"/>
      <c r="F37" s="46"/>
      <c r="G37" s="47"/>
      <c r="H37" s="46"/>
      <c r="I37" s="39"/>
      <c r="J37" s="35"/>
      <c r="K37" s="40"/>
      <c r="L37" s="33"/>
      <c r="AA37" s="138" t="s">
        <v>15</v>
      </c>
      <c r="AB37" s="139" t="s">
        <v>15</v>
      </c>
      <c r="AC37" s="140">
        <v>0</v>
      </c>
      <c r="AD37" s="141"/>
    </row>
    <row r="38" spans="1:30" x14ac:dyDescent="0.35">
      <c r="A38" s="39"/>
      <c r="B38" s="39"/>
      <c r="C38" s="39"/>
      <c r="D38" s="41"/>
      <c r="E38" s="41"/>
      <c r="F38" s="41"/>
      <c r="G38" s="41"/>
      <c r="H38" s="41"/>
      <c r="I38" s="41"/>
      <c r="J38" s="42"/>
      <c r="K38" s="42"/>
    </row>
    <row r="39" spans="1:30" x14ac:dyDescent="0.35">
      <c r="A39" s="41"/>
      <c r="B39" s="41"/>
      <c r="C39" s="41"/>
      <c r="D39" s="41"/>
      <c r="E39" s="41"/>
      <c r="F39" s="41"/>
      <c r="G39" s="41"/>
      <c r="H39" s="41"/>
      <c r="I39" s="41"/>
    </row>
    <row r="40" spans="1:30" x14ac:dyDescent="0.35">
      <c r="A40" s="41"/>
      <c r="B40" s="41"/>
      <c r="C40" s="41"/>
      <c r="D40" s="41"/>
      <c r="E40" s="41"/>
      <c r="F40" s="41"/>
      <c r="G40" s="41"/>
      <c r="H40" s="41"/>
      <c r="I40" s="41"/>
    </row>
    <row r="41" spans="1:30" x14ac:dyDescent="0.35">
      <c r="A41" s="41"/>
      <c r="B41" s="41"/>
      <c r="C41" s="41"/>
      <c r="D41" s="41"/>
      <c r="E41" s="41"/>
      <c r="F41" s="41"/>
      <c r="G41" s="41"/>
      <c r="H41" s="41"/>
      <c r="I41" s="41"/>
    </row>
    <row r="42" spans="1:30" x14ac:dyDescent="0.35">
      <c r="A42" s="41"/>
      <c r="B42" s="41"/>
      <c r="C42" s="41"/>
      <c r="D42" s="41"/>
      <c r="E42" s="41"/>
      <c r="F42" s="41"/>
      <c r="G42" s="41"/>
      <c r="H42" s="41"/>
      <c r="I42" s="41"/>
    </row>
    <row r="43" spans="1:30" x14ac:dyDescent="0.35">
      <c r="A43" s="41"/>
      <c r="B43" s="41"/>
      <c r="C43" s="41"/>
      <c r="D43" s="41"/>
      <c r="E43" s="41"/>
      <c r="F43" s="41"/>
      <c r="G43" s="41"/>
      <c r="H43" s="41"/>
      <c r="I43" s="41"/>
    </row>
    <row r="44" spans="1:30" x14ac:dyDescent="0.35">
      <c r="A44" s="41"/>
      <c r="B44" s="41"/>
      <c r="C44" s="41"/>
      <c r="D44" s="41"/>
      <c r="E44" s="41"/>
      <c r="F44" s="41"/>
      <c r="G44" s="41"/>
      <c r="H44" s="41"/>
      <c r="I44" s="41"/>
    </row>
    <row r="45" spans="1:30" x14ac:dyDescent="0.35">
      <c r="A45" s="41"/>
      <c r="B45" s="41"/>
      <c r="C45" s="41"/>
      <c r="D45" s="41"/>
      <c r="E45" s="41"/>
      <c r="F45" s="41"/>
      <c r="G45" s="41"/>
      <c r="H45" s="41"/>
      <c r="I45" s="41"/>
    </row>
    <row r="46" spans="1:30" x14ac:dyDescent="0.35">
      <c r="A46" s="41"/>
      <c r="B46" s="41"/>
      <c r="C46" s="41"/>
      <c r="D46" s="41"/>
      <c r="E46" s="41"/>
      <c r="F46" s="41"/>
      <c r="G46" s="41"/>
      <c r="H46" s="41"/>
      <c r="I46" s="41"/>
    </row>
    <row r="47" spans="1:30" x14ac:dyDescent="0.35">
      <c r="A47" s="41"/>
      <c r="B47" s="41"/>
      <c r="C47" s="41"/>
      <c r="D47" s="41"/>
      <c r="E47" s="41"/>
      <c r="F47" s="41"/>
      <c r="G47" s="41"/>
      <c r="H47" s="41"/>
      <c r="I47" s="41"/>
    </row>
    <row r="48" spans="1:30" x14ac:dyDescent="0.35">
      <c r="A48" s="41"/>
      <c r="B48" s="41"/>
      <c r="C48" s="41"/>
      <c r="D48" s="41"/>
      <c r="E48" s="41"/>
      <c r="F48" s="41"/>
      <c r="G48" s="41"/>
      <c r="H48" s="41"/>
      <c r="I48" s="41"/>
    </row>
    <row r="49" spans="1:9" x14ac:dyDescent="0.35">
      <c r="A49" s="41"/>
      <c r="B49" s="41"/>
      <c r="C49" s="41"/>
      <c r="D49" s="41"/>
      <c r="E49" s="41"/>
      <c r="F49" s="41"/>
      <c r="G49" s="41"/>
      <c r="H49" s="41"/>
      <c r="I49" s="41"/>
    </row>
    <row r="50" spans="1:9" x14ac:dyDescent="0.35">
      <c r="A50" s="41"/>
      <c r="B50" s="41"/>
      <c r="C50" s="41"/>
      <c r="D50" s="41"/>
      <c r="E50" s="41"/>
      <c r="F50" s="41"/>
      <c r="G50" s="41"/>
      <c r="H50" s="41"/>
      <c r="I50" s="41"/>
    </row>
    <row r="51" spans="1:9" x14ac:dyDescent="0.35">
      <c r="A51" s="41"/>
      <c r="B51" s="41"/>
      <c r="C51" s="41"/>
      <c r="D51" s="41"/>
      <c r="E51" s="41"/>
      <c r="F51" s="41"/>
      <c r="G51" s="41"/>
      <c r="H51" s="41"/>
      <c r="I51" s="41"/>
    </row>
    <row r="52" spans="1:9" x14ac:dyDescent="0.35">
      <c r="A52" s="41"/>
      <c r="B52" s="41"/>
      <c r="C52" s="41"/>
    </row>
    <row r="53" spans="1:9" x14ac:dyDescent="0.35">
      <c r="A53" s="41"/>
      <c r="B53" s="41"/>
      <c r="C53" s="41"/>
      <c r="D53" s="41"/>
      <c r="E53" s="41"/>
      <c r="F53" s="41"/>
      <c r="G53" s="41"/>
      <c r="H53" s="41"/>
      <c r="I53" s="41"/>
    </row>
    <row r="54" spans="1:9" x14ac:dyDescent="0.35">
      <c r="A54" s="41"/>
      <c r="B54" s="41"/>
      <c r="C54" s="41"/>
      <c r="D54" s="41"/>
      <c r="E54" s="41"/>
      <c r="F54" s="41"/>
      <c r="G54" s="41"/>
      <c r="H54" s="41"/>
      <c r="I54" s="41"/>
    </row>
    <row r="55" spans="1:9" x14ac:dyDescent="0.35">
      <c r="A55" s="41"/>
      <c r="B55" s="41"/>
      <c r="C55" s="41"/>
      <c r="D55" s="41"/>
      <c r="E55" s="41"/>
      <c r="F55" s="41"/>
      <c r="G55" s="41"/>
      <c r="H55" s="41"/>
      <c r="I55" s="41"/>
    </row>
    <row r="56" spans="1:9" x14ac:dyDescent="0.35">
      <c r="A56" s="41"/>
      <c r="B56" s="41"/>
      <c r="C56" s="41"/>
      <c r="D56" s="41"/>
      <c r="E56" s="41"/>
      <c r="F56" s="41"/>
      <c r="G56" s="41"/>
      <c r="H56" s="41"/>
      <c r="I56" s="41"/>
    </row>
    <row r="57" spans="1:9" x14ac:dyDescent="0.35">
      <c r="A57" s="41"/>
      <c r="B57" s="41"/>
      <c r="C57" s="41"/>
      <c r="D57" s="41"/>
      <c r="E57" s="41"/>
      <c r="F57" s="41"/>
      <c r="G57" s="41"/>
      <c r="H57" s="41"/>
      <c r="I57" s="41"/>
    </row>
    <row r="58" spans="1:9" x14ac:dyDescent="0.35">
      <c r="A58" s="41"/>
      <c r="B58" s="41"/>
      <c r="C58" s="41"/>
      <c r="D58" s="41"/>
      <c r="E58" s="41"/>
      <c r="F58" s="41"/>
      <c r="G58" s="41"/>
      <c r="H58" s="41"/>
      <c r="I58" s="41"/>
    </row>
    <row r="59" spans="1:9" x14ac:dyDescent="0.35">
      <c r="A59" s="41"/>
      <c r="B59" s="41"/>
      <c r="C59" s="41"/>
      <c r="D59" s="41"/>
      <c r="E59" s="41"/>
      <c r="F59" s="41"/>
      <c r="G59" s="41"/>
      <c r="H59" s="41"/>
      <c r="I59" s="41"/>
    </row>
    <row r="60" spans="1:9" x14ac:dyDescent="0.35">
      <c r="A60" s="41"/>
      <c r="B60" s="41"/>
      <c r="C60" s="41"/>
      <c r="D60" s="41"/>
      <c r="E60" s="41"/>
      <c r="F60" s="41"/>
      <c r="G60" s="41"/>
      <c r="H60" s="41"/>
      <c r="I60" s="41"/>
    </row>
    <row r="61" spans="1:9" x14ac:dyDescent="0.35">
      <c r="A61" s="41"/>
      <c r="B61" s="41"/>
      <c r="C61" s="41"/>
      <c r="D61" s="41"/>
      <c r="E61" s="41"/>
      <c r="F61" s="41"/>
      <c r="G61" s="41"/>
      <c r="H61" s="41"/>
      <c r="I61" s="41"/>
    </row>
    <row r="62" spans="1:9" x14ac:dyDescent="0.35">
      <c r="A62" s="41"/>
      <c r="B62" s="41"/>
      <c r="C62" s="41"/>
      <c r="D62" s="41"/>
      <c r="E62" s="41"/>
      <c r="F62" s="41"/>
      <c r="G62" s="41"/>
      <c r="H62" s="41"/>
      <c r="I62" s="41"/>
    </row>
    <row r="63" spans="1:9" x14ac:dyDescent="0.35">
      <c r="A63" s="41"/>
      <c r="B63" s="41"/>
      <c r="C63" s="41"/>
      <c r="D63" s="41"/>
      <c r="E63" s="41"/>
      <c r="F63" s="41"/>
      <c r="G63" s="41"/>
      <c r="H63" s="41"/>
      <c r="I63" s="41"/>
    </row>
    <row r="64" spans="1:9" x14ac:dyDescent="0.35">
      <c r="A64" s="41"/>
      <c r="B64" s="41"/>
      <c r="C64" s="41"/>
      <c r="D64" s="41"/>
      <c r="E64" s="41"/>
      <c r="F64" s="41"/>
      <c r="G64" s="41"/>
      <c r="H64" s="41"/>
      <c r="I64" s="41"/>
    </row>
    <row r="65" spans="1:9" x14ac:dyDescent="0.35">
      <c r="A65" s="41"/>
      <c r="B65" s="41"/>
      <c r="C65" s="41"/>
      <c r="D65" s="41"/>
      <c r="E65" s="41"/>
      <c r="F65" s="41"/>
      <c r="G65" s="41"/>
      <c r="H65" s="41"/>
      <c r="I65" s="41"/>
    </row>
    <row r="66" spans="1:9" x14ac:dyDescent="0.35">
      <c r="A66" s="41"/>
      <c r="B66" s="41"/>
      <c r="C66" s="41"/>
      <c r="D66" s="41"/>
      <c r="E66" s="41"/>
      <c r="F66" s="41"/>
      <c r="G66" s="41"/>
      <c r="H66" s="41"/>
      <c r="I66" s="41"/>
    </row>
    <row r="67" spans="1:9" x14ac:dyDescent="0.35">
      <c r="A67" s="41"/>
      <c r="B67" s="41"/>
      <c r="C67" s="41"/>
      <c r="D67" s="41"/>
      <c r="E67" s="41"/>
      <c r="F67" s="41"/>
      <c r="G67" s="41"/>
      <c r="H67" s="41"/>
      <c r="I67" s="41"/>
    </row>
    <row r="68" spans="1:9" x14ac:dyDescent="0.35">
      <c r="A68" s="41"/>
      <c r="B68" s="41"/>
      <c r="C68" s="41"/>
      <c r="D68" s="41"/>
      <c r="E68" s="41"/>
      <c r="F68" s="41"/>
      <c r="G68" s="41"/>
      <c r="H68" s="41"/>
      <c r="I68" s="41"/>
    </row>
    <row r="69" spans="1:9" x14ac:dyDescent="0.35">
      <c r="A69" s="41"/>
      <c r="B69" s="41"/>
      <c r="C69" s="41"/>
      <c r="D69" s="41"/>
      <c r="E69" s="41"/>
      <c r="F69" s="41"/>
      <c r="G69" s="41"/>
      <c r="H69" s="41"/>
      <c r="I69" s="41"/>
    </row>
    <row r="70" spans="1:9" x14ac:dyDescent="0.35">
      <c r="A70" s="41"/>
      <c r="B70" s="41"/>
      <c r="C70" s="41"/>
      <c r="D70" s="41"/>
      <c r="E70" s="41"/>
      <c r="F70" s="41"/>
      <c r="G70" s="41"/>
      <c r="H70" s="41"/>
      <c r="I70" s="41"/>
    </row>
    <row r="71" spans="1:9" x14ac:dyDescent="0.35">
      <c r="A71" s="41"/>
      <c r="B71" s="41"/>
      <c r="C71" s="41"/>
      <c r="D71" s="41"/>
      <c r="E71" s="41"/>
      <c r="F71" s="41"/>
      <c r="G71" s="41"/>
      <c r="H71" s="41"/>
      <c r="I71" s="41"/>
    </row>
    <row r="72" spans="1:9" x14ac:dyDescent="0.35">
      <c r="A72" s="41"/>
      <c r="B72" s="41"/>
      <c r="C72" s="41"/>
      <c r="D72" s="41"/>
      <c r="E72" s="41"/>
      <c r="F72" s="41"/>
      <c r="G72" s="41"/>
      <c r="H72" s="41"/>
      <c r="I72" s="41"/>
    </row>
    <row r="73" spans="1:9" x14ac:dyDescent="0.35">
      <c r="A73" s="41"/>
      <c r="B73" s="41"/>
      <c r="C73" s="41"/>
      <c r="D73" s="41"/>
      <c r="E73" s="41"/>
      <c r="F73" s="41"/>
      <c r="G73" s="41"/>
      <c r="H73" s="41"/>
      <c r="I73" s="41"/>
    </row>
    <row r="74" spans="1:9" x14ac:dyDescent="0.35">
      <c r="A74" s="41"/>
      <c r="B74" s="41"/>
      <c r="C74" s="41"/>
      <c r="D74" s="41"/>
      <c r="E74" s="41"/>
      <c r="F74" s="41"/>
      <c r="G74" s="41"/>
      <c r="H74" s="41"/>
      <c r="I74" s="41"/>
    </row>
    <row r="75" spans="1:9" x14ac:dyDescent="0.35">
      <c r="A75" s="41"/>
      <c r="B75" s="41"/>
      <c r="C75" s="41"/>
      <c r="D75" s="41"/>
      <c r="E75" s="41"/>
      <c r="F75" s="41"/>
      <c r="G75" s="41"/>
      <c r="H75" s="41"/>
      <c r="I75" s="41"/>
    </row>
    <row r="76" spans="1:9" x14ac:dyDescent="0.35">
      <c r="A76" s="41"/>
      <c r="B76" s="41"/>
      <c r="C76" s="41"/>
      <c r="D76" s="41"/>
      <c r="E76" s="41"/>
      <c r="F76" s="41"/>
      <c r="G76" s="41"/>
      <c r="H76" s="41"/>
      <c r="I76" s="41"/>
    </row>
    <row r="77" spans="1:9" x14ac:dyDescent="0.35">
      <c r="A77" s="41"/>
      <c r="B77" s="41"/>
      <c r="C77" s="41"/>
      <c r="D77" s="41"/>
      <c r="E77" s="41"/>
      <c r="F77" s="41"/>
      <c r="G77" s="41"/>
      <c r="H77" s="41"/>
      <c r="I77" s="41"/>
    </row>
    <row r="78" spans="1:9" x14ac:dyDescent="0.35">
      <c r="A78" s="41"/>
      <c r="B78" s="41"/>
      <c r="C78" s="41"/>
      <c r="D78" s="41"/>
      <c r="E78" s="41"/>
      <c r="F78" s="41"/>
      <c r="G78" s="41"/>
      <c r="H78" s="41"/>
      <c r="I78" s="41"/>
    </row>
    <row r="79" spans="1:9" x14ac:dyDescent="0.35">
      <c r="A79" s="41"/>
      <c r="B79" s="41"/>
      <c r="C79" s="41"/>
      <c r="D79" s="41"/>
      <c r="E79" s="41"/>
      <c r="F79" s="41"/>
      <c r="G79" s="41"/>
      <c r="H79" s="41"/>
      <c r="I79" s="41"/>
    </row>
    <row r="80" spans="1:9" x14ac:dyDescent="0.35">
      <c r="A80" s="41"/>
      <c r="B80" s="41"/>
      <c r="C80" s="41"/>
      <c r="D80" s="41"/>
      <c r="E80" s="41"/>
      <c r="F80" s="41"/>
      <c r="G80" s="41"/>
      <c r="H80" s="41"/>
      <c r="I80" s="41"/>
    </row>
    <row r="81" spans="1:9" x14ac:dyDescent="0.35">
      <c r="A81" s="41"/>
      <c r="B81" s="41"/>
      <c r="C81" s="41"/>
      <c r="D81" s="41"/>
      <c r="E81" s="41"/>
      <c r="F81" s="41"/>
      <c r="G81" s="41"/>
      <c r="H81" s="41"/>
      <c r="I81" s="41"/>
    </row>
    <row r="82" spans="1:9" x14ac:dyDescent="0.35">
      <c r="A82" s="41"/>
      <c r="B82" s="41"/>
      <c r="C82" s="41"/>
      <c r="D82" s="41"/>
      <c r="E82" s="41"/>
      <c r="F82" s="41"/>
      <c r="G82" s="41"/>
      <c r="H82" s="41"/>
      <c r="I82" s="41"/>
    </row>
    <row r="83" spans="1:9" x14ac:dyDescent="0.35">
      <c r="A83" s="41"/>
      <c r="B83" s="41"/>
      <c r="C83" s="41"/>
      <c r="D83" s="41"/>
      <c r="E83" s="41"/>
      <c r="F83" s="41"/>
      <c r="G83" s="41"/>
      <c r="H83" s="41"/>
      <c r="I83" s="41"/>
    </row>
    <row r="84" spans="1:9" x14ac:dyDescent="0.35">
      <c r="A84" s="41"/>
      <c r="B84" s="41"/>
      <c r="C84" s="41"/>
      <c r="D84" s="41"/>
      <c r="E84" s="41"/>
      <c r="F84" s="41"/>
      <c r="G84" s="41"/>
      <c r="H84" s="41"/>
      <c r="I84" s="41"/>
    </row>
    <row r="85" spans="1:9" x14ac:dyDescent="0.35">
      <c r="A85" s="41"/>
      <c r="B85" s="41"/>
      <c r="C85" s="41"/>
      <c r="D85" s="41"/>
      <c r="E85" s="41"/>
      <c r="F85" s="41"/>
      <c r="G85" s="41"/>
      <c r="H85" s="41"/>
      <c r="I85" s="41"/>
    </row>
    <row r="86" spans="1:9" x14ac:dyDescent="0.35">
      <c r="A86" s="41"/>
      <c r="B86" s="41"/>
      <c r="C86" s="41"/>
      <c r="D86" s="41"/>
      <c r="E86" s="41"/>
      <c r="F86" s="41"/>
      <c r="G86" s="41"/>
      <c r="H86" s="41"/>
      <c r="I86" s="41"/>
    </row>
    <row r="87" spans="1:9" x14ac:dyDescent="0.35">
      <c r="A87" s="41"/>
      <c r="B87" s="41"/>
      <c r="C87" s="41"/>
      <c r="D87" s="41"/>
      <c r="E87" s="41"/>
      <c r="F87" s="41"/>
      <c r="G87" s="41"/>
      <c r="H87" s="41"/>
      <c r="I87" s="41"/>
    </row>
    <row r="88" spans="1:9" x14ac:dyDescent="0.35">
      <c r="A88" s="41"/>
      <c r="B88" s="41"/>
      <c r="C88" s="41"/>
      <c r="D88" s="41"/>
      <c r="E88" s="41"/>
      <c r="F88" s="41"/>
      <c r="G88" s="41"/>
      <c r="H88" s="41"/>
      <c r="I88" s="41"/>
    </row>
    <row r="89" spans="1:9" x14ac:dyDescent="0.35">
      <c r="A89" s="41"/>
      <c r="B89" s="41"/>
      <c r="C89" s="41"/>
      <c r="D89" s="41"/>
      <c r="E89" s="41"/>
      <c r="F89" s="41"/>
      <c r="G89" s="41"/>
      <c r="H89" s="41"/>
      <c r="I89" s="41"/>
    </row>
    <row r="90" spans="1:9" x14ac:dyDescent="0.35">
      <c r="A90" s="41"/>
      <c r="B90" s="41"/>
      <c r="C90" s="41"/>
      <c r="D90" s="41"/>
      <c r="E90" s="41"/>
      <c r="F90" s="41"/>
      <c r="G90" s="41"/>
      <c r="H90" s="41"/>
      <c r="I90" s="41"/>
    </row>
    <row r="91" spans="1:9" x14ac:dyDescent="0.35">
      <c r="A91" s="41"/>
      <c r="B91" s="41"/>
      <c r="C91" s="41"/>
      <c r="D91" s="41"/>
      <c r="E91" s="41"/>
      <c r="F91" s="41"/>
      <c r="G91" s="41"/>
      <c r="H91" s="41"/>
      <c r="I91" s="41"/>
    </row>
    <row r="92" spans="1:9" x14ac:dyDescent="0.35">
      <c r="A92" s="41"/>
      <c r="B92" s="41"/>
      <c r="C92" s="41"/>
      <c r="D92" s="41"/>
      <c r="E92" s="41"/>
      <c r="F92" s="41"/>
      <c r="G92" s="41"/>
      <c r="H92" s="41"/>
      <c r="I92" s="41"/>
    </row>
    <row r="93" spans="1:9" x14ac:dyDescent="0.35">
      <c r="A93" s="41"/>
      <c r="B93" s="41"/>
      <c r="C93" s="41"/>
      <c r="D93" s="41"/>
      <c r="E93" s="41"/>
      <c r="F93" s="41"/>
      <c r="G93" s="41"/>
      <c r="H93" s="41"/>
      <c r="I93" s="41"/>
    </row>
    <row r="94" spans="1:9" x14ac:dyDescent="0.35">
      <c r="A94" s="41"/>
      <c r="B94" s="41"/>
      <c r="C94" s="41"/>
      <c r="D94" s="41"/>
      <c r="E94" s="41"/>
      <c r="F94" s="41"/>
      <c r="G94" s="41"/>
      <c r="H94" s="41"/>
      <c r="I94" s="41"/>
    </row>
    <row r="95" spans="1:9" x14ac:dyDescent="0.35">
      <c r="A95" s="41"/>
      <c r="B95" s="41"/>
      <c r="C95" s="41"/>
      <c r="D95" s="41"/>
      <c r="E95" s="41"/>
      <c r="F95" s="41"/>
      <c r="G95" s="41"/>
      <c r="H95" s="41"/>
      <c r="I95" s="41"/>
    </row>
    <row r="96" spans="1:9" x14ac:dyDescent="0.35">
      <c r="A96" s="41"/>
      <c r="B96" s="41"/>
      <c r="C96" s="41"/>
      <c r="D96" s="41"/>
      <c r="E96" s="41"/>
      <c r="F96" s="41"/>
      <c r="G96" s="41"/>
      <c r="H96" s="41"/>
      <c r="I96" s="41"/>
    </row>
    <row r="97" spans="1:9" x14ac:dyDescent="0.35">
      <c r="A97" s="41"/>
      <c r="B97" s="41"/>
      <c r="C97" s="41"/>
      <c r="D97" s="41"/>
      <c r="E97" s="41"/>
      <c r="F97" s="41"/>
      <c r="G97" s="41"/>
      <c r="H97" s="41"/>
      <c r="I97" s="41"/>
    </row>
    <row r="98" spans="1:9" x14ac:dyDescent="0.35">
      <c r="A98" s="41"/>
      <c r="B98" s="41"/>
      <c r="C98" s="41"/>
      <c r="D98" s="41"/>
      <c r="E98" s="41"/>
      <c r="F98" s="41"/>
      <c r="G98" s="41"/>
      <c r="H98" s="41"/>
      <c r="I98" s="41"/>
    </row>
    <row r="99" spans="1:9" x14ac:dyDescent="0.35">
      <c r="A99" s="41"/>
      <c r="B99" s="41"/>
      <c r="C99" s="41"/>
      <c r="D99" s="41"/>
      <c r="E99" s="41"/>
      <c r="F99" s="41"/>
      <c r="G99" s="41"/>
      <c r="H99" s="41"/>
      <c r="I99" s="41"/>
    </row>
    <row r="100" spans="1:9" x14ac:dyDescent="0.35">
      <c r="A100" s="41"/>
      <c r="B100" s="41"/>
      <c r="C100" s="41"/>
      <c r="D100" s="41"/>
      <c r="E100" s="41"/>
      <c r="F100" s="41"/>
      <c r="G100" s="41"/>
      <c r="H100" s="41"/>
      <c r="I100" s="41"/>
    </row>
    <row r="101" spans="1:9" x14ac:dyDescent="0.35">
      <c r="A101" s="41"/>
      <c r="B101" s="41"/>
      <c r="C101" s="41"/>
      <c r="D101" s="41"/>
      <c r="E101" s="41"/>
      <c r="F101" s="41"/>
      <c r="G101" s="41"/>
      <c r="H101" s="41"/>
      <c r="I101" s="41"/>
    </row>
    <row r="102" spans="1:9" x14ac:dyDescent="0.35">
      <c r="A102" s="41"/>
      <c r="B102" s="41"/>
      <c r="C102" s="41"/>
      <c r="D102" s="41"/>
      <c r="E102" s="41"/>
      <c r="F102" s="41"/>
      <c r="G102" s="41"/>
      <c r="H102" s="41"/>
      <c r="I102" s="41"/>
    </row>
    <row r="103" spans="1:9" x14ac:dyDescent="0.35">
      <c r="A103" s="41"/>
      <c r="B103" s="41"/>
      <c r="C103" s="41"/>
      <c r="D103" s="41"/>
      <c r="E103" s="41"/>
      <c r="F103" s="41"/>
      <c r="G103" s="41"/>
      <c r="H103" s="41"/>
      <c r="I103" s="41"/>
    </row>
    <row r="104" spans="1:9" x14ac:dyDescent="0.35">
      <c r="A104" s="41"/>
      <c r="B104" s="41"/>
      <c r="C104" s="41"/>
      <c r="D104" s="41"/>
      <c r="E104" s="41"/>
      <c r="F104" s="41"/>
      <c r="G104" s="41"/>
      <c r="H104" s="41"/>
      <c r="I104" s="41"/>
    </row>
    <row r="105" spans="1:9" x14ac:dyDescent="0.35">
      <c r="A105" s="41"/>
      <c r="B105" s="41"/>
      <c r="C105" s="41"/>
      <c r="D105" s="41"/>
      <c r="E105" s="41"/>
      <c r="F105" s="41"/>
      <c r="G105" s="41"/>
      <c r="H105" s="41"/>
      <c r="I105" s="41"/>
    </row>
    <row r="106" spans="1:9" x14ac:dyDescent="0.35">
      <c r="A106" s="41"/>
      <c r="B106" s="41"/>
      <c r="C106" s="41"/>
      <c r="D106" s="41"/>
      <c r="E106" s="41"/>
      <c r="F106" s="41"/>
      <c r="G106" s="41"/>
      <c r="H106" s="41"/>
      <c r="I106" s="41"/>
    </row>
    <row r="107" spans="1:9" x14ac:dyDescent="0.35">
      <c r="A107" s="41"/>
      <c r="B107" s="41"/>
      <c r="C107" s="41"/>
      <c r="D107" s="41"/>
      <c r="E107" s="41"/>
      <c r="F107" s="41"/>
      <c r="G107" s="41"/>
      <c r="H107" s="41"/>
      <c r="I107" s="41"/>
    </row>
    <row r="108" spans="1:9" x14ac:dyDescent="0.35">
      <c r="A108" s="41"/>
      <c r="B108" s="41"/>
      <c r="C108" s="41"/>
      <c r="D108" s="41"/>
      <c r="E108" s="41"/>
      <c r="F108" s="41"/>
      <c r="G108" s="41"/>
      <c r="H108" s="41"/>
      <c r="I108" s="41"/>
    </row>
    <row r="109" spans="1:9" x14ac:dyDescent="0.35">
      <c r="A109" s="41"/>
      <c r="B109" s="41"/>
      <c r="C109" s="41"/>
      <c r="D109" s="41"/>
      <c r="E109" s="41"/>
      <c r="F109" s="41"/>
      <c r="G109" s="41"/>
      <c r="H109" s="41"/>
      <c r="I109" s="41"/>
    </row>
    <row r="110" spans="1:9" x14ac:dyDescent="0.35">
      <c r="A110" s="41"/>
      <c r="B110" s="41"/>
      <c r="C110" s="41"/>
      <c r="D110" s="41"/>
      <c r="E110" s="41"/>
      <c r="F110" s="41"/>
      <c r="G110" s="41"/>
      <c r="H110" s="41"/>
      <c r="I110" s="41"/>
    </row>
    <row r="111" spans="1:9" x14ac:dyDescent="0.35">
      <c r="A111" s="41"/>
      <c r="B111" s="41"/>
      <c r="C111" s="41"/>
      <c r="D111" s="41"/>
      <c r="E111" s="41"/>
      <c r="F111" s="41"/>
      <c r="G111" s="41"/>
      <c r="H111" s="41"/>
      <c r="I111" s="41"/>
    </row>
    <row r="112" spans="1:9" x14ac:dyDescent="0.35">
      <c r="A112" s="41"/>
      <c r="B112" s="41"/>
      <c r="C112" s="41"/>
      <c r="D112" s="41"/>
      <c r="E112" s="41"/>
      <c r="F112" s="41"/>
      <c r="G112" s="41"/>
      <c r="H112" s="41"/>
      <c r="I112" s="41"/>
    </row>
    <row r="113" spans="1:9" x14ac:dyDescent="0.35">
      <c r="A113" s="41"/>
      <c r="B113" s="41"/>
      <c r="C113" s="41"/>
      <c r="D113" s="41"/>
      <c r="E113" s="41"/>
      <c r="F113" s="41"/>
      <c r="G113" s="41"/>
      <c r="H113" s="41"/>
      <c r="I113" s="41"/>
    </row>
    <row r="114" spans="1:9" x14ac:dyDescent="0.35">
      <c r="A114" s="41"/>
      <c r="B114" s="41"/>
      <c r="C114" s="41"/>
      <c r="D114" s="41"/>
      <c r="E114" s="41"/>
      <c r="F114" s="41"/>
      <c r="G114" s="41"/>
      <c r="H114" s="41"/>
      <c r="I114" s="41"/>
    </row>
    <row r="115" spans="1:9" x14ac:dyDescent="0.35">
      <c r="A115" s="41"/>
      <c r="B115" s="41"/>
      <c r="C115" s="41"/>
      <c r="D115" s="41"/>
      <c r="E115" s="41"/>
      <c r="F115" s="41"/>
      <c r="G115" s="41"/>
      <c r="H115" s="41"/>
      <c r="I115" s="41"/>
    </row>
    <row r="116" spans="1:9" x14ac:dyDescent="0.35">
      <c r="A116" s="41"/>
      <c r="B116" s="41"/>
      <c r="C116" s="41"/>
      <c r="D116" s="41"/>
      <c r="E116" s="41"/>
      <c r="F116" s="41"/>
      <c r="G116" s="41"/>
      <c r="H116" s="41"/>
      <c r="I116" s="41"/>
    </row>
    <row r="117" spans="1:9" x14ac:dyDescent="0.35">
      <c r="A117" s="41"/>
      <c r="B117" s="41"/>
      <c r="C117" s="41"/>
      <c r="D117" s="41"/>
      <c r="E117" s="41"/>
      <c r="F117" s="41"/>
      <c r="G117" s="41"/>
      <c r="H117" s="41"/>
      <c r="I117" s="41"/>
    </row>
    <row r="118" spans="1:9" x14ac:dyDescent="0.35">
      <c r="A118" s="41"/>
      <c r="B118" s="41"/>
      <c r="C118" s="41"/>
      <c r="D118" s="41"/>
      <c r="E118" s="41"/>
      <c r="F118" s="41"/>
      <c r="G118" s="41"/>
      <c r="H118" s="41"/>
      <c r="I118" s="41"/>
    </row>
    <row r="119" spans="1:9" x14ac:dyDescent="0.35">
      <c r="A119" s="41"/>
      <c r="B119" s="41"/>
      <c r="C119" s="41"/>
      <c r="D119" s="41"/>
      <c r="E119" s="41"/>
      <c r="F119" s="41"/>
      <c r="G119" s="41"/>
      <c r="H119" s="41"/>
      <c r="I119" s="41"/>
    </row>
    <row r="120" spans="1:9" x14ac:dyDescent="0.35">
      <c r="A120" s="41"/>
      <c r="B120" s="41"/>
      <c r="C120" s="41"/>
      <c r="D120" s="41"/>
      <c r="E120" s="41"/>
      <c r="F120" s="41"/>
      <c r="G120" s="41"/>
      <c r="H120" s="41"/>
      <c r="I120" s="41"/>
    </row>
    <row r="121" spans="1:9" x14ac:dyDescent="0.35">
      <c r="A121" s="41"/>
      <c r="B121" s="41"/>
      <c r="C121" s="41"/>
      <c r="D121" s="41"/>
      <c r="E121" s="41"/>
      <c r="F121" s="41"/>
      <c r="G121" s="41"/>
      <c r="H121" s="41"/>
      <c r="I121" s="41"/>
    </row>
    <row r="122" spans="1:9" x14ac:dyDescent="0.35">
      <c r="A122" s="41"/>
      <c r="B122" s="41"/>
      <c r="C122" s="41"/>
      <c r="D122" s="41"/>
      <c r="E122" s="41"/>
      <c r="F122" s="41"/>
      <c r="G122" s="41"/>
      <c r="H122" s="41"/>
      <c r="I122" s="41"/>
    </row>
    <row r="123" spans="1:9" x14ac:dyDescent="0.35">
      <c r="A123" s="41"/>
      <c r="B123" s="41"/>
      <c r="C123" s="41"/>
      <c r="D123" s="41"/>
      <c r="E123" s="41"/>
      <c r="F123" s="41"/>
      <c r="G123" s="41"/>
      <c r="H123" s="41"/>
      <c r="I123" s="41"/>
    </row>
    <row r="124" spans="1:9" x14ac:dyDescent="0.35">
      <c r="A124" s="41"/>
      <c r="B124" s="41"/>
      <c r="C124" s="41"/>
      <c r="D124" s="41"/>
      <c r="E124" s="41"/>
      <c r="F124" s="41"/>
      <c r="G124" s="41"/>
      <c r="H124" s="41"/>
      <c r="I124" s="41"/>
    </row>
    <row r="125" spans="1:9" x14ac:dyDescent="0.35">
      <c r="A125" s="41"/>
      <c r="B125" s="41"/>
      <c r="C125" s="41"/>
      <c r="D125" s="41"/>
      <c r="E125" s="41"/>
      <c r="F125" s="41"/>
      <c r="G125" s="41"/>
      <c r="H125" s="41"/>
      <c r="I125" s="41"/>
    </row>
    <row r="126" spans="1:9" x14ac:dyDescent="0.35">
      <c r="A126" s="41"/>
      <c r="B126" s="41"/>
      <c r="C126" s="41"/>
      <c r="D126" s="41"/>
      <c r="E126" s="41"/>
      <c r="F126" s="41"/>
      <c r="G126" s="41"/>
      <c r="H126" s="41"/>
      <c r="I126" s="41"/>
    </row>
    <row r="127" spans="1:9" x14ac:dyDescent="0.35">
      <c r="A127" s="41"/>
      <c r="B127" s="41"/>
      <c r="C127" s="41"/>
      <c r="D127" s="41"/>
      <c r="E127" s="41"/>
      <c r="F127" s="41"/>
      <c r="G127" s="41"/>
      <c r="H127" s="41"/>
      <c r="I127" s="41"/>
    </row>
    <row r="128" spans="1:9" x14ac:dyDescent="0.35">
      <c r="A128" s="41"/>
      <c r="B128" s="41"/>
      <c r="C128" s="41"/>
      <c r="D128" s="41"/>
      <c r="E128" s="41"/>
      <c r="F128" s="41"/>
      <c r="G128" s="41"/>
      <c r="H128" s="41"/>
      <c r="I128" s="41"/>
    </row>
    <row r="129" spans="1:9" x14ac:dyDescent="0.35">
      <c r="A129" s="41"/>
      <c r="B129" s="41"/>
      <c r="C129" s="41"/>
      <c r="D129" s="41"/>
      <c r="E129" s="41"/>
      <c r="F129" s="41"/>
      <c r="G129" s="41"/>
      <c r="H129" s="41"/>
      <c r="I129" s="41"/>
    </row>
    <row r="130" spans="1:9" x14ac:dyDescent="0.35">
      <c r="A130" s="41"/>
      <c r="B130" s="41"/>
      <c r="C130" s="41"/>
      <c r="D130" s="41"/>
      <c r="E130" s="41"/>
      <c r="F130" s="41"/>
      <c r="G130" s="41"/>
      <c r="H130" s="41"/>
      <c r="I130" s="41"/>
    </row>
    <row r="131" spans="1:9" x14ac:dyDescent="0.35">
      <c r="A131" s="41"/>
      <c r="B131" s="41"/>
      <c r="C131" s="41"/>
      <c r="D131" s="41"/>
      <c r="E131" s="41"/>
      <c r="F131" s="41"/>
      <c r="G131" s="41"/>
      <c r="H131" s="41"/>
      <c r="I131" s="41"/>
    </row>
    <row r="132" spans="1:9" x14ac:dyDescent="0.35">
      <c r="A132" s="41"/>
      <c r="B132" s="41"/>
      <c r="C132" s="41"/>
      <c r="D132" s="41"/>
      <c r="E132" s="41"/>
      <c r="F132" s="41"/>
      <c r="G132" s="41"/>
      <c r="H132" s="41"/>
      <c r="I132" s="41"/>
    </row>
    <row r="133" spans="1:9" x14ac:dyDescent="0.35">
      <c r="A133" s="41"/>
      <c r="B133" s="41"/>
      <c r="C133" s="41"/>
      <c r="D133" s="41"/>
      <c r="E133" s="41"/>
      <c r="F133" s="41"/>
      <c r="G133" s="41"/>
      <c r="H133" s="41"/>
      <c r="I133" s="41"/>
    </row>
    <row r="134" spans="1:9" x14ac:dyDescent="0.35">
      <c r="A134" s="41"/>
      <c r="B134" s="41"/>
      <c r="C134" s="41"/>
      <c r="D134" s="41"/>
      <c r="E134" s="41"/>
      <c r="F134" s="41"/>
      <c r="G134" s="41"/>
      <c r="H134" s="41"/>
      <c r="I134" s="41"/>
    </row>
    <row r="135" spans="1:9" x14ac:dyDescent="0.35">
      <c r="A135" s="41"/>
      <c r="B135" s="41"/>
      <c r="C135" s="41"/>
      <c r="D135" s="41"/>
      <c r="E135" s="41"/>
      <c r="F135" s="41"/>
      <c r="G135" s="41"/>
      <c r="H135" s="41"/>
      <c r="I135" s="41"/>
    </row>
    <row r="136" spans="1:9" x14ac:dyDescent="0.35">
      <c r="A136" s="41"/>
      <c r="B136" s="41"/>
      <c r="C136" s="41"/>
      <c r="D136" s="41"/>
      <c r="E136" s="41"/>
      <c r="F136" s="41"/>
      <c r="G136" s="41"/>
      <c r="H136" s="41"/>
      <c r="I136" s="41"/>
    </row>
    <row r="137" spans="1:9" x14ac:dyDescent="0.35">
      <c r="A137" s="41"/>
      <c r="B137" s="41"/>
      <c r="C137" s="41"/>
      <c r="D137" s="41"/>
      <c r="E137" s="41"/>
      <c r="F137" s="41"/>
      <c r="G137" s="41"/>
      <c r="H137" s="41"/>
      <c r="I137" s="41"/>
    </row>
    <row r="138" spans="1:9" x14ac:dyDescent="0.35">
      <c r="A138" s="41"/>
      <c r="B138" s="41"/>
      <c r="C138" s="41"/>
      <c r="D138" s="41"/>
      <c r="E138" s="41"/>
      <c r="F138" s="41"/>
      <c r="G138" s="41"/>
      <c r="H138" s="41"/>
      <c r="I138" s="41"/>
    </row>
    <row r="139" spans="1:9" x14ac:dyDescent="0.35">
      <c r="A139" s="41"/>
      <c r="B139" s="41"/>
      <c r="C139" s="41"/>
      <c r="D139" s="41"/>
      <c r="E139" s="41"/>
      <c r="F139" s="41"/>
      <c r="G139" s="41"/>
      <c r="H139" s="41"/>
      <c r="I139" s="41"/>
    </row>
    <row r="140" spans="1:9" x14ac:dyDescent="0.35">
      <c r="A140" s="41"/>
      <c r="B140" s="41"/>
      <c r="C140" s="41"/>
      <c r="D140" s="41"/>
      <c r="E140" s="41"/>
      <c r="F140" s="41"/>
      <c r="G140" s="41"/>
      <c r="H140" s="41"/>
      <c r="I140" s="41"/>
    </row>
    <row r="141" spans="1:9" x14ac:dyDescent="0.35">
      <c r="A141" s="41"/>
      <c r="B141" s="41"/>
      <c r="C141" s="41"/>
      <c r="D141" s="41"/>
      <c r="E141" s="41"/>
      <c r="F141" s="41"/>
      <c r="G141" s="41"/>
      <c r="H141" s="41"/>
      <c r="I141" s="41"/>
    </row>
    <row r="142" spans="1:9" x14ac:dyDescent="0.35">
      <c r="A142" s="41"/>
      <c r="B142" s="41"/>
      <c r="C142" s="41"/>
      <c r="D142" s="41"/>
      <c r="E142" s="41"/>
      <c r="F142" s="41"/>
      <c r="G142" s="41"/>
      <c r="H142" s="41"/>
      <c r="I142" s="41"/>
    </row>
    <row r="143" spans="1:9" x14ac:dyDescent="0.35">
      <c r="A143" s="41"/>
      <c r="B143" s="41"/>
      <c r="C143" s="41"/>
      <c r="D143" s="41"/>
      <c r="E143" s="41"/>
      <c r="F143" s="41"/>
      <c r="G143" s="41"/>
      <c r="H143" s="41"/>
      <c r="I143" s="41"/>
    </row>
    <row r="144" spans="1:9" x14ac:dyDescent="0.35">
      <c r="A144" s="41"/>
      <c r="B144" s="41"/>
      <c r="C144" s="41"/>
      <c r="D144" s="41"/>
      <c r="E144" s="41"/>
      <c r="F144" s="41"/>
      <c r="G144" s="41"/>
      <c r="H144" s="41"/>
      <c r="I144" s="41"/>
    </row>
    <row r="145" spans="1:9" x14ac:dyDescent="0.35">
      <c r="A145" s="41"/>
      <c r="B145" s="41"/>
      <c r="C145" s="41"/>
      <c r="D145" s="41"/>
      <c r="E145" s="41"/>
      <c r="F145" s="41"/>
      <c r="G145" s="41"/>
      <c r="H145" s="41"/>
      <c r="I145" s="41"/>
    </row>
    <row r="146" spans="1:9" x14ac:dyDescent="0.35">
      <c r="A146" s="41"/>
      <c r="B146" s="41"/>
      <c r="C146" s="41"/>
      <c r="D146" s="41"/>
      <c r="E146" s="41"/>
      <c r="F146" s="41"/>
      <c r="G146" s="41"/>
      <c r="H146" s="41"/>
      <c r="I146" s="41"/>
    </row>
    <row r="147" spans="1:9" x14ac:dyDescent="0.35">
      <c r="A147" s="41"/>
      <c r="B147" s="41"/>
      <c r="C147" s="41"/>
      <c r="D147" s="41"/>
      <c r="E147" s="41"/>
      <c r="F147" s="41"/>
      <c r="G147" s="41"/>
      <c r="H147" s="41"/>
      <c r="I147" s="41"/>
    </row>
    <row r="148" spans="1:9" x14ac:dyDescent="0.35">
      <c r="A148" s="41"/>
      <c r="B148" s="41"/>
      <c r="C148" s="41"/>
      <c r="D148" s="41"/>
      <c r="E148" s="41"/>
      <c r="F148" s="41"/>
      <c r="G148" s="41"/>
      <c r="H148" s="41"/>
      <c r="I148" s="41"/>
    </row>
    <row r="149" spans="1:9" x14ac:dyDescent="0.35">
      <c r="A149" s="41"/>
      <c r="B149" s="41"/>
      <c r="C149" s="41"/>
      <c r="D149" s="41"/>
      <c r="E149" s="41"/>
      <c r="F149" s="41"/>
      <c r="G149" s="41"/>
      <c r="H149" s="41"/>
      <c r="I149" s="41"/>
    </row>
    <row r="150" spans="1:9" x14ac:dyDescent="0.35">
      <c r="A150" s="41"/>
      <c r="B150" s="41"/>
      <c r="C150" s="41"/>
      <c r="D150" s="41"/>
      <c r="E150" s="41"/>
      <c r="F150" s="41"/>
      <c r="G150" s="41"/>
      <c r="H150" s="41"/>
      <c r="I150" s="41"/>
    </row>
    <row r="151" spans="1:9" x14ac:dyDescent="0.35">
      <c r="A151" s="41"/>
      <c r="B151" s="41"/>
      <c r="C151" s="41"/>
      <c r="D151" s="41"/>
      <c r="E151" s="41"/>
      <c r="F151" s="41"/>
      <c r="G151" s="41"/>
      <c r="H151" s="41"/>
      <c r="I151" s="41"/>
    </row>
    <row r="152" spans="1:9" x14ac:dyDescent="0.35">
      <c r="A152" s="41"/>
      <c r="B152" s="41"/>
      <c r="C152" s="41"/>
      <c r="D152" s="41"/>
      <c r="E152" s="41"/>
      <c r="F152" s="41"/>
      <c r="G152" s="41"/>
      <c r="H152" s="41"/>
      <c r="I152" s="41"/>
    </row>
    <row r="153" spans="1:9" x14ac:dyDescent="0.35">
      <c r="A153" s="41"/>
      <c r="B153" s="41"/>
      <c r="C153" s="41"/>
      <c r="D153" s="41"/>
      <c r="E153" s="41"/>
      <c r="F153" s="41"/>
      <c r="G153" s="41"/>
      <c r="H153" s="41"/>
      <c r="I153" s="41"/>
    </row>
    <row r="154" spans="1:9" x14ac:dyDescent="0.35">
      <c r="A154" s="41"/>
      <c r="B154" s="41"/>
      <c r="C154" s="41"/>
      <c r="D154" s="41"/>
      <c r="E154" s="41"/>
      <c r="F154" s="41"/>
      <c r="G154" s="41"/>
      <c r="H154" s="41"/>
      <c r="I154" s="41"/>
    </row>
    <row r="155" spans="1:9" x14ac:dyDescent="0.35">
      <c r="A155" s="41"/>
      <c r="B155" s="41"/>
      <c r="C155" s="41"/>
      <c r="D155" s="41"/>
      <c r="E155" s="41"/>
      <c r="F155" s="41"/>
      <c r="G155" s="41"/>
      <c r="H155" s="41"/>
      <c r="I155" s="41"/>
    </row>
    <row r="156" spans="1:9" x14ac:dyDescent="0.35">
      <c r="A156" s="41"/>
      <c r="B156" s="41"/>
      <c r="C156" s="41"/>
      <c r="D156" s="41"/>
      <c r="E156" s="41"/>
      <c r="F156" s="41"/>
      <c r="G156" s="41"/>
      <c r="H156" s="41"/>
      <c r="I156" s="41"/>
    </row>
    <row r="157" spans="1:9" x14ac:dyDescent="0.35">
      <c r="A157" s="41"/>
      <c r="B157" s="41"/>
      <c r="C157" s="41"/>
      <c r="D157" s="41"/>
      <c r="E157" s="41"/>
      <c r="F157" s="41"/>
      <c r="G157" s="41"/>
      <c r="H157" s="41"/>
      <c r="I157" s="41"/>
    </row>
    <row r="158" spans="1:9" x14ac:dyDescent="0.35">
      <c r="A158" s="41"/>
      <c r="B158" s="41"/>
      <c r="C158" s="41"/>
      <c r="D158" s="41"/>
      <c r="E158" s="41"/>
      <c r="F158" s="41"/>
      <c r="G158" s="41"/>
      <c r="H158" s="41"/>
      <c r="I158" s="41"/>
    </row>
    <row r="159" spans="1:9" x14ac:dyDescent="0.35">
      <c r="A159" s="41"/>
      <c r="B159" s="41"/>
      <c r="C159" s="41"/>
      <c r="D159" s="41"/>
      <c r="E159" s="41"/>
      <c r="F159" s="41"/>
      <c r="G159" s="41"/>
      <c r="H159" s="41"/>
      <c r="I159" s="41"/>
    </row>
    <row r="160" spans="1:9" x14ac:dyDescent="0.35">
      <c r="A160" s="41"/>
      <c r="B160" s="41"/>
      <c r="C160" s="41"/>
      <c r="D160" s="41"/>
      <c r="E160" s="41"/>
      <c r="F160" s="41"/>
      <c r="G160" s="41"/>
      <c r="H160" s="41"/>
      <c r="I160" s="41"/>
    </row>
    <row r="161" spans="1:9" x14ac:dyDescent="0.35">
      <c r="A161" s="41"/>
      <c r="B161" s="41"/>
      <c r="C161" s="41"/>
      <c r="D161" s="41"/>
      <c r="E161" s="41"/>
      <c r="F161" s="41"/>
      <c r="G161" s="41"/>
      <c r="H161" s="41"/>
      <c r="I161" s="41"/>
    </row>
    <row r="162" spans="1:9" x14ac:dyDescent="0.35">
      <c r="A162" s="41"/>
      <c r="B162" s="41"/>
      <c r="C162" s="41"/>
      <c r="D162" s="41"/>
      <c r="E162" s="41"/>
      <c r="F162" s="41"/>
      <c r="G162" s="41"/>
      <c r="H162" s="41"/>
      <c r="I162" s="41"/>
    </row>
    <row r="163" spans="1:9" x14ac:dyDescent="0.35">
      <c r="A163" s="41"/>
      <c r="B163" s="41"/>
      <c r="C163" s="41"/>
      <c r="D163" s="41"/>
      <c r="E163" s="41"/>
      <c r="F163" s="41"/>
      <c r="G163" s="41"/>
      <c r="H163" s="41"/>
      <c r="I163" s="41"/>
    </row>
    <row r="164" spans="1:9" x14ac:dyDescent="0.35">
      <c r="A164" s="41"/>
      <c r="B164" s="41"/>
      <c r="C164" s="41"/>
      <c r="D164" s="41"/>
      <c r="E164" s="41"/>
      <c r="F164" s="41"/>
      <c r="G164" s="41"/>
      <c r="H164" s="41"/>
      <c r="I164" s="41"/>
    </row>
    <row r="165" spans="1:9" x14ac:dyDescent="0.35">
      <c r="A165" s="41"/>
      <c r="B165" s="41"/>
      <c r="C165" s="41"/>
      <c r="D165" s="41"/>
      <c r="E165" s="41"/>
      <c r="F165" s="41"/>
      <c r="G165" s="41"/>
      <c r="H165" s="41"/>
      <c r="I165" s="41"/>
    </row>
    <row r="166" spans="1:9" x14ac:dyDescent="0.35">
      <c r="A166" s="41"/>
      <c r="B166" s="41"/>
      <c r="C166" s="41"/>
      <c r="D166" s="41"/>
      <c r="E166" s="41"/>
      <c r="F166" s="41"/>
      <c r="G166" s="41"/>
      <c r="H166" s="41"/>
      <c r="I166" s="41"/>
    </row>
    <row r="167" spans="1:9" x14ac:dyDescent="0.35">
      <c r="A167" s="41"/>
      <c r="B167" s="41"/>
      <c r="C167" s="41"/>
      <c r="D167" s="41"/>
      <c r="E167" s="41"/>
      <c r="F167" s="41"/>
      <c r="G167" s="41"/>
      <c r="H167" s="41"/>
      <c r="I167" s="41"/>
    </row>
    <row r="168" spans="1:9" x14ac:dyDescent="0.35">
      <c r="A168" s="41"/>
      <c r="B168" s="41"/>
      <c r="C168" s="41"/>
      <c r="D168" s="41"/>
      <c r="E168" s="41"/>
      <c r="F168" s="41"/>
      <c r="G168" s="41"/>
      <c r="H168" s="41"/>
      <c r="I168" s="41"/>
    </row>
    <row r="169" spans="1:9" x14ac:dyDescent="0.35">
      <c r="A169" s="41"/>
      <c r="B169" s="41"/>
      <c r="C169" s="41"/>
      <c r="D169" s="41"/>
      <c r="E169" s="41"/>
      <c r="F169" s="41"/>
      <c r="G169" s="41"/>
      <c r="H169" s="41"/>
      <c r="I169" s="41"/>
    </row>
    <row r="170" spans="1:9" x14ac:dyDescent="0.35">
      <c r="A170" s="41"/>
      <c r="B170" s="41"/>
      <c r="C170" s="41"/>
      <c r="D170" s="41"/>
      <c r="E170" s="41"/>
      <c r="F170" s="41"/>
      <c r="G170" s="41"/>
      <c r="H170" s="41"/>
      <c r="I170" s="41"/>
    </row>
    <row r="171" spans="1:9" x14ac:dyDescent="0.35">
      <c r="A171" s="41"/>
      <c r="B171" s="41"/>
      <c r="C171" s="41"/>
      <c r="D171" s="41"/>
      <c r="E171" s="41"/>
      <c r="F171" s="41"/>
      <c r="G171" s="41"/>
      <c r="H171" s="41"/>
      <c r="I171" s="41"/>
    </row>
    <row r="172" spans="1:9" x14ac:dyDescent="0.35">
      <c r="A172" s="41"/>
      <c r="B172" s="41"/>
      <c r="C172" s="41"/>
      <c r="D172" s="41"/>
      <c r="E172" s="41"/>
      <c r="F172" s="41"/>
      <c r="G172" s="41"/>
      <c r="H172" s="41"/>
      <c r="I172" s="41"/>
    </row>
    <row r="173" spans="1:9" x14ac:dyDescent="0.35">
      <c r="A173" s="41"/>
      <c r="B173" s="41"/>
      <c r="C173" s="41"/>
      <c r="D173" s="41"/>
      <c r="E173" s="41"/>
      <c r="F173" s="41"/>
      <c r="G173" s="41"/>
      <c r="H173" s="41"/>
      <c r="I173" s="41"/>
    </row>
    <row r="174" spans="1:9" x14ac:dyDescent="0.35">
      <c r="A174" s="41"/>
      <c r="B174" s="41"/>
      <c r="C174" s="41"/>
      <c r="D174" s="41"/>
      <c r="E174" s="41"/>
      <c r="F174" s="41"/>
      <c r="G174" s="41"/>
      <c r="H174" s="41"/>
      <c r="I174" s="41"/>
    </row>
    <row r="175" spans="1:9" x14ac:dyDescent="0.35">
      <c r="A175" s="41"/>
      <c r="B175" s="41"/>
      <c r="C175" s="41"/>
      <c r="D175" s="41"/>
      <c r="E175" s="41"/>
      <c r="F175" s="41"/>
      <c r="G175" s="41"/>
      <c r="H175" s="41"/>
      <c r="I175" s="41"/>
    </row>
    <row r="176" spans="1:9" x14ac:dyDescent="0.35">
      <c r="A176" s="41"/>
      <c r="B176" s="41"/>
      <c r="C176" s="41"/>
      <c r="D176" s="41"/>
      <c r="E176" s="41"/>
      <c r="F176" s="41"/>
      <c r="G176" s="41"/>
      <c r="H176" s="41"/>
      <c r="I176" s="41"/>
    </row>
    <row r="177" spans="1:9" x14ac:dyDescent="0.35">
      <c r="A177" s="41"/>
      <c r="B177" s="41"/>
      <c r="C177" s="41"/>
      <c r="D177" s="41"/>
      <c r="E177" s="41"/>
      <c r="F177" s="41"/>
      <c r="G177" s="41"/>
      <c r="H177" s="41"/>
      <c r="I177" s="41"/>
    </row>
    <row r="178" spans="1:9" x14ac:dyDescent="0.35">
      <c r="A178" s="41"/>
      <c r="B178" s="41"/>
      <c r="C178" s="41"/>
      <c r="D178" s="41"/>
      <c r="E178" s="41"/>
      <c r="F178" s="41"/>
      <c r="G178" s="41"/>
      <c r="H178" s="41"/>
      <c r="I178" s="41"/>
    </row>
    <row r="179" spans="1:9" x14ac:dyDescent="0.35">
      <c r="A179" s="41"/>
      <c r="B179" s="41"/>
      <c r="C179" s="41"/>
      <c r="D179" s="41"/>
      <c r="E179" s="41"/>
      <c r="F179" s="41"/>
      <c r="G179" s="41"/>
      <c r="H179" s="41"/>
      <c r="I179" s="41"/>
    </row>
    <row r="180" spans="1:9" x14ac:dyDescent="0.35">
      <c r="A180" s="41"/>
      <c r="B180" s="41"/>
      <c r="C180" s="41"/>
      <c r="D180" s="41"/>
      <c r="E180" s="41"/>
      <c r="F180" s="41"/>
      <c r="G180" s="41"/>
      <c r="H180" s="41"/>
      <c r="I180" s="41"/>
    </row>
    <row r="181" spans="1:9" x14ac:dyDescent="0.35">
      <c r="A181" s="41"/>
      <c r="B181" s="41"/>
      <c r="C181" s="41"/>
      <c r="D181" s="41"/>
      <c r="E181" s="41"/>
      <c r="F181" s="41"/>
      <c r="G181" s="41"/>
      <c r="H181" s="41"/>
      <c r="I181" s="41"/>
    </row>
    <row r="182" spans="1:9" x14ac:dyDescent="0.35">
      <c r="A182" s="41"/>
      <c r="B182" s="41"/>
      <c r="C182" s="41"/>
      <c r="D182" s="41"/>
      <c r="E182" s="41"/>
      <c r="F182" s="41"/>
      <c r="G182" s="41"/>
      <c r="H182" s="41"/>
      <c r="I182" s="41"/>
    </row>
    <row r="183" spans="1:9" x14ac:dyDescent="0.35">
      <c r="A183" s="41"/>
      <c r="B183" s="41"/>
      <c r="C183" s="41"/>
      <c r="D183" s="41"/>
      <c r="E183" s="41"/>
      <c r="F183" s="41"/>
      <c r="G183" s="41"/>
      <c r="H183" s="41"/>
      <c r="I183" s="41"/>
    </row>
    <row r="184" spans="1:9" x14ac:dyDescent="0.35">
      <c r="A184" s="41"/>
      <c r="B184" s="41"/>
      <c r="C184" s="41"/>
      <c r="D184" s="41"/>
      <c r="E184" s="41"/>
      <c r="F184" s="41"/>
      <c r="G184" s="41"/>
      <c r="H184" s="41"/>
      <c r="I184" s="41"/>
    </row>
    <row r="185" spans="1:9" x14ac:dyDescent="0.35">
      <c r="A185" s="41"/>
      <c r="B185" s="41"/>
      <c r="C185" s="41"/>
      <c r="D185" s="41"/>
      <c r="E185" s="41"/>
      <c r="F185" s="41"/>
      <c r="G185" s="41"/>
      <c r="H185" s="41"/>
      <c r="I185" s="41"/>
    </row>
    <row r="186" spans="1:9" x14ac:dyDescent="0.35">
      <c r="A186" s="41"/>
      <c r="B186" s="41"/>
      <c r="C186" s="41"/>
      <c r="D186" s="41"/>
      <c r="E186" s="41"/>
      <c r="F186" s="41"/>
      <c r="G186" s="41"/>
      <c r="H186" s="41"/>
      <c r="I186" s="41"/>
    </row>
    <row r="187" spans="1:9" x14ac:dyDescent="0.35">
      <c r="A187" s="41"/>
      <c r="B187" s="41"/>
      <c r="C187" s="41"/>
      <c r="D187" s="41"/>
      <c r="E187" s="41"/>
      <c r="F187" s="41"/>
      <c r="G187" s="41"/>
      <c r="H187" s="41"/>
      <c r="I187" s="41"/>
    </row>
    <row r="188" spans="1:9" x14ac:dyDescent="0.35">
      <c r="A188" s="41"/>
      <c r="B188" s="41"/>
      <c r="C188" s="41"/>
      <c r="D188" s="41"/>
      <c r="E188" s="41"/>
      <c r="F188" s="41"/>
      <c r="G188" s="41"/>
      <c r="H188" s="41"/>
      <c r="I188" s="41"/>
    </row>
    <row r="189" spans="1:9" x14ac:dyDescent="0.35">
      <c r="A189" s="41"/>
      <c r="B189" s="41"/>
      <c r="C189" s="41"/>
      <c r="D189" s="41"/>
      <c r="E189" s="41"/>
      <c r="F189" s="41"/>
      <c r="G189" s="41"/>
      <c r="H189" s="41"/>
      <c r="I189" s="41"/>
    </row>
    <row r="190" spans="1:9" x14ac:dyDescent="0.35">
      <c r="A190" s="41"/>
      <c r="B190" s="41"/>
      <c r="C190" s="41"/>
      <c r="D190" s="41"/>
      <c r="E190" s="41"/>
      <c r="F190" s="41"/>
      <c r="G190" s="41"/>
      <c r="H190" s="41"/>
      <c r="I190" s="41"/>
    </row>
    <row r="191" spans="1:9" x14ac:dyDescent="0.35">
      <c r="A191" s="41"/>
      <c r="B191" s="41"/>
      <c r="C191" s="41"/>
      <c r="D191" s="41"/>
      <c r="E191" s="41"/>
      <c r="F191" s="41"/>
      <c r="G191" s="41"/>
      <c r="H191" s="41"/>
      <c r="I191" s="41"/>
    </row>
    <row r="192" spans="1:9" x14ac:dyDescent="0.35">
      <c r="A192" s="41"/>
      <c r="B192" s="41"/>
      <c r="C192" s="41"/>
      <c r="D192" s="41"/>
      <c r="E192" s="41"/>
      <c r="F192" s="41"/>
      <c r="G192" s="41"/>
      <c r="H192" s="41"/>
      <c r="I192" s="41"/>
    </row>
    <row r="193" spans="1:9" x14ac:dyDescent="0.35">
      <c r="A193" s="41"/>
      <c r="B193" s="41"/>
      <c r="C193" s="41"/>
      <c r="D193" s="41"/>
      <c r="E193" s="41"/>
      <c r="F193" s="41"/>
      <c r="G193" s="41"/>
      <c r="H193" s="41"/>
      <c r="I193" s="41"/>
    </row>
    <row r="194" spans="1:9" x14ac:dyDescent="0.35">
      <c r="A194" s="41"/>
      <c r="B194" s="41"/>
      <c r="C194" s="41"/>
      <c r="D194" s="41"/>
      <c r="E194" s="41"/>
      <c r="F194" s="41"/>
      <c r="G194" s="41"/>
      <c r="H194" s="41"/>
      <c r="I194" s="41"/>
    </row>
    <row r="195" spans="1:9" x14ac:dyDescent="0.35">
      <c r="A195" s="41"/>
      <c r="B195" s="41"/>
      <c r="C195" s="41"/>
      <c r="D195" s="41"/>
      <c r="E195" s="41"/>
      <c r="F195" s="41"/>
      <c r="G195" s="41"/>
      <c r="H195" s="41"/>
      <c r="I195" s="41"/>
    </row>
    <row r="196" spans="1:9" x14ac:dyDescent="0.35">
      <c r="A196" s="41"/>
      <c r="B196" s="41"/>
      <c r="C196" s="41"/>
      <c r="D196" s="41"/>
      <c r="E196" s="41"/>
      <c r="F196" s="41"/>
      <c r="G196" s="41"/>
      <c r="H196" s="41"/>
      <c r="I196" s="41"/>
    </row>
    <row r="197" spans="1:9" x14ac:dyDescent="0.35">
      <c r="A197" s="41"/>
      <c r="B197" s="41"/>
      <c r="C197" s="41"/>
      <c r="D197" s="41"/>
      <c r="E197" s="41"/>
      <c r="F197" s="41"/>
      <c r="G197" s="41"/>
      <c r="H197" s="41"/>
      <c r="I197" s="41"/>
    </row>
    <row r="198" spans="1:9" x14ac:dyDescent="0.35">
      <c r="A198" s="41"/>
      <c r="B198" s="41"/>
      <c r="C198" s="41"/>
      <c r="D198" s="41"/>
      <c r="E198" s="41"/>
      <c r="F198" s="41"/>
      <c r="G198" s="41"/>
      <c r="H198" s="41"/>
      <c r="I198" s="41"/>
    </row>
    <row r="199" spans="1:9" x14ac:dyDescent="0.35">
      <c r="A199" s="41"/>
      <c r="B199" s="41"/>
      <c r="C199" s="41"/>
      <c r="D199" s="41"/>
      <c r="E199" s="41"/>
      <c r="F199" s="41"/>
      <c r="G199" s="41"/>
      <c r="H199" s="41"/>
      <c r="I199" s="41"/>
    </row>
    <row r="200" spans="1:9" x14ac:dyDescent="0.35">
      <c r="A200" s="41"/>
      <c r="B200" s="41"/>
      <c r="C200" s="41"/>
      <c r="D200" s="41"/>
      <c r="E200" s="41"/>
      <c r="F200" s="41"/>
      <c r="G200" s="41"/>
      <c r="H200" s="41"/>
      <c r="I200" s="41"/>
    </row>
    <row r="201" spans="1:9" x14ac:dyDescent="0.35">
      <c r="A201" s="41"/>
      <c r="B201" s="41"/>
      <c r="C201" s="41"/>
      <c r="D201" s="41"/>
      <c r="E201" s="41"/>
      <c r="F201" s="41"/>
      <c r="G201" s="41"/>
      <c r="H201" s="41"/>
      <c r="I201" s="41"/>
    </row>
    <row r="202" spans="1:9" x14ac:dyDescent="0.35">
      <c r="A202" s="41"/>
      <c r="B202" s="41"/>
      <c r="C202" s="41"/>
      <c r="D202" s="41"/>
      <c r="E202" s="41"/>
      <c r="F202" s="41"/>
      <c r="G202" s="41"/>
      <c r="H202" s="41"/>
      <c r="I202" s="41"/>
    </row>
    <row r="203" spans="1:9" x14ac:dyDescent="0.35">
      <c r="A203" s="41"/>
      <c r="B203" s="41"/>
      <c r="C203" s="41"/>
      <c r="D203" s="41"/>
      <c r="E203" s="41"/>
      <c r="F203" s="41"/>
      <c r="G203" s="41"/>
      <c r="H203" s="41"/>
      <c r="I203" s="41"/>
    </row>
    <row r="204" spans="1:9" x14ac:dyDescent="0.35">
      <c r="A204" s="41"/>
      <c r="B204" s="41"/>
      <c r="C204" s="41"/>
      <c r="D204" s="41"/>
      <c r="E204" s="41"/>
      <c r="F204" s="41"/>
      <c r="G204" s="41"/>
      <c r="H204" s="41"/>
      <c r="I204" s="41"/>
    </row>
    <row r="205" spans="1:9" x14ac:dyDescent="0.35">
      <c r="A205" s="41"/>
      <c r="B205" s="41"/>
      <c r="C205" s="41"/>
      <c r="D205" s="41"/>
      <c r="E205" s="41"/>
      <c r="F205" s="41"/>
      <c r="G205" s="41"/>
      <c r="H205" s="41"/>
      <c r="I205" s="41"/>
    </row>
    <row r="206" spans="1:9" x14ac:dyDescent="0.35">
      <c r="A206" s="41"/>
      <c r="B206" s="41"/>
      <c r="C206" s="41"/>
      <c r="D206" s="41"/>
      <c r="E206" s="41"/>
      <c r="F206" s="41"/>
      <c r="G206" s="41"/>
      <c r="H206" s="41"/>
      <c r="I206" s="41"/>
    </row>
    <row r="207" spans="1:9" x14ac:dyDescent="0.35">
      <c r="A207" s="41"/>
      <c r="B207" s="41"/>
      <c r="C207" s="41"/>
      <c r="D207" s="41"/>
      <c r="E207" s="41"/>
      <c r="F207" s="41"/>
      <c r="G207" s="41"/>
      <c r="H207" s="41"/>
      <c r="I207" s="41"/>
    </row>
    <row r="208" spans="1:9" x14ac:dyDescent="0.35">
      <c r="A208" s="41"/>
      <c r="B208" s="41"/>
      <c r="C208" s="41"/>
      <c r="D208" s="41"/>
      <c r="E208" s="41"/>
      <c r="F208" s="41"/>
      <c r="G208" s="41"/>
      <c r="H208" s="41"/>
      <c r="I208" s="41"/>
    </row>
    <row r="209" spans="1:9" x14ac:dyDescent="0.35">
      <c r="A209" s="41"/>
      <c r="B209" s="41"/>
      <c r="C209" s="41"/>
      <c r="D209" s="41"/>
      <c r="E209" s="41"/>
      <c r="F209" s="41"/>
      <c r="G209" s="41"/>
      <c r="H209" s="41"/>
      <c r="I209" s="41"/>
    </row>
    <row r="210" spans="1:9" x14ac:dyDescent="0.35">
      <c r="A210" s="41"/>
      <c r="B210" s="41"/>
      <c r="C210" s="41"/>
      <c r="D210" s="41"/>
      <c r="E210" s="41"/>
      <c r="F210" s="41"/>
      <c r="G210" s="41"/>
      <c r="H210" s="41"/>
      <c r="I210" s="41"/>
    </row>
    <row r="211" spans="1:9" x14ac:dyDescent="0.35">
      <c r="A211" s="41"/>
      <c r="B211" s="41"/>
      <c r="C211" s="41"/>
      <c r="D211" s="41"/>
      <c r="E211" s="41"/>
      <c r="F211" s="41"/>
      <c r="G211" s="41"/>
      <c r="H211" s="41"/>
      <c r="I211" s="41"/>
    </row>
    <row r="212" spans="1:9" x14ac:dyDescent="0.35">
      <c r="A212" s="41"/>
      <c r="B212" s="41"/>
      <c r="C212" s="41"/>
      <c r="D212" s="41"/>
      <c r="E212" s="41"/>
      <c r="F212" s="41"/>
      <c r="G212" s="41"/>
      <c r="H212" s="41"/>
      <c r="I212" s="41"/>
    </row>
    <row r="213" spans="1:9" x14ac:dyDescent="0.35">
      <c r="A213" s="41"/>
      <c r="B213" s="41"/>
      <c r="C213" s="41"/>
      <c r="D213" s="41"/>
      <c r="E213" s="41"/>
      <c r="F213" s="41"/>
      <c r="G213" s="41"/>
      <c r="H213" s="41"/>
      <c r="I213" s="41"/>
    </row>
    <row r="214" spans="1:9" x14ac:dyDescent="0.35">
      <c r="A214" s="41"/>
      <c r="B214" s="41"/>
      <c r="C214" s="41"/>
      <c r="D214" s="41"/>
      <c r="E214" s="41"/>
      <c r="F214" s="41"/>
      <c r="G214" s="41"/>
      <c r="H214" s="41"/>
      <c r="I214" s="41"/>
    </row>
    <row r="215" spans="1:9" x14ac:dyDescent="0.35">
      <c r="A215" s="41"/>
      <c r="B215" s="41"/>
      <c r="C215" s="41"/>
      <c r="D215" s="41"/>
      <c r="E215" s="41"/>
      <c r="F215" s="41"/>
      <c r="G215" s="41"/>
      <c r="H215" s="41"/>
      <c r="I215" s="41"/>
    </row>
    <row r="216" spans="1:9" x14ac:dyDescent="0.35">
      <c r="A216" s="41"/>
      <c r="B216" s="41"/>
      <c r="C216" s="41"/>
      <c r="D216" s="41"/>
      <c r="E216" s="41"/>
      <c r="F216" s="41"/>
      <c r="G216" s="41"/>
      <c r="H216" s="41"/>
      <c r="I216" s="41"/>
    </row>
    <row r="217" spans="1:9" x14ac:dyDescent="0.35">
      <c r="A217" s="41"/>
      <c r="B217" s="41"/>
      <c r="C217" s="41"/>
      <c r="D217" s="41"/>
      <c r="E217" s="41"/>
      <c r="F217" s="41"/>
      <c r="G217" s="41"/>
      <c r="H217" s="41"/>
      <c r="I217" s="41"/>
    </row>
    <row r="218" spans="1:9" x14ac:dyDescent="0.35">
      <c r="A218" s="41"/>
      <c r="B218" s="41"/>
      <c r="C218" s="41"/>
      <c r="D218" s="41"/>
      <c r="E218" s="41"/>
      <c r="F218" s="41"/>
      <c r="G218" s="41"/>
      <c r="H218" s="41"/>
      <c r="I218" s="41"/>
    </row>
    <row r="219" spans="1:9" x14ac:dyDescent="0.35">
      <c r="A219" s="41"/>
      <c r="B219" s="41"/>
      <c r="C219" s="41"/>
      <c r="D219" s="41"/>
      <c r="E219" s="41"/>
      <c r="F219" s="41"/>
      <c r="G219" s="41"/>
      <c r="H219" s="41"/>
      <c r="I219" s="41"/>
    </row>
    <row r="220" spans="1:9" x14ac:dyDescent="0.35">
      <c r="A220" s="41"/>
      <c r="B220" s="41"/>
      <c r="C220" s="41"/>
      <c r="D220" s="41"/>
      <c r="E220" s="41"/>
      <c r="F220" s="41"/>
      <c r="G220" s="41"/>
      <c r="H220" s="41"/>
      <c r="I220" s="41"/>
    </row>
    <row r="221" spans="1:9" x14ac:dyDescent="0.35">
      <c r="A221" s="41"/>
      <c r="B221" s="41"/>
      <c r="C221" s="41"/>
      <c r="D221" s="41"/>
      <c r="E221" s="41"/>
      <c r="F221" s="41"/>
      <c r="G221" s="41"/>
      <c r="H221" s="41"/>
      <c r="I221" s="41"/>
    </row>
    <row r="222" spans="1:9" x14ac:dyDescent="0.35">
      <c r="A222" s="41"/>
      <c r="B222" s="41"/>
      <c r="C222" s="41"/>
      <c r="D222" s="41"/>
      <c r="E222" s="41"/>
      <c r="F222" s="41"/>
      <c r="G222" s="41"/>
      <c r="H222" s="41"/>
      <c r="I222" s="41"/>
    </row>
    <row r="223" spans="1:9" x14ac:dyDescent="0.35">
      <c r="A223" s="41"/>
      <c r="B223" s="41"/>
      <c r="C223" s="41"/>
      <c r="D223" s="41"/>
      <c r="E223" s="41"/>
      <c r="F223" s="41"/>
      <c r="G223" s="41"/>
      <c r="H223" s="41"/>
      <c r="I223" s="41"/>
    </row>
    <row r="224" spans="1:9" x14ac:dyDescent="0.35">
      <c r="A224" s="41"/>
      <c r="B224" s="41"/>
      <c r="C224" s="41"/>
      <c r="D224" s="41"/>
      <c r="E224" s="41"/>
      <c r="F224" s="41"/>
      <c r="G224" s="41"/>
      <c r="H224" s="41"/>
      <c r="I224" s="41"/>
    </row>
    <row r="225" spans="1:9" x14ac:dyDescent="0.35">
      <c r="A225" s="41"/>
      <c r="B225" s="41"/>
      <c r="C225" s="41"/>
      <c r="D225" s="41"/>
      <c r="E225" s="41"/>
      <c r="F225" s="41"/>
      <c r="G225" s="41"/>
      <c r="H225" s="41"/>
      <c r="I225" s="41"/>
    </row>
    <row r="226" spans="1:9" x14ac:dyDescent="0.35">
      <c r="A226" s="41"/>
      <c r="B226" s="41"/>
      <c r="C226" s="41"/>
      <c r="D226" s="41"/>
      <c r="E226" s="41"/>
      <c r="F226" s="41"/>
      <c r="G226" s="41"/>
      <c r="H226" s="41"/>
      <c r="I226" s="41"/>
    </row>
    <row r="227" spans="1:9" x14ac:dyDescent="0.35">
      <c r="A227" s="41"/>
      <c r="B227" s="41"/>
      <c r="C227" s="41"/>
      <c r="D227" s="41"/>
      <c r="E227" s="41"/>
      <c r="F227" s="41"/>
      <c r="G227" s="41"/>
      <c r="H227" s="41"/>
      <c r="I227" s="41"/>
    </row>
    <row r="228" spans="1:9" x14ac:dyDescent="0.35">
      <c r="A228" s="41"/>
      <c r="B228" s="41"/>
      <c r="C228" s="41"/>
      <c r="D228" s="41"/>
      <c r="E228" s="41"/>
      <c r="F228" s="41"/>
      <c r="G228" s="41"/>
      <c r="H228" s="41"/>
      <c r="I228" s="41"/>
    </row>
    <row r="229" spans="1:9" x14ac:dyDescent="0.35">
      <c r="A229" s="41"/>
      <c r="B229" s="41"/>
      <c r="C229" s="41"/>
      <c r="D229" s="41"/>
      <c r="E229" s="41"/>
      <c r="F229" s="41"/>
      <c r="G229" s="41"/>
      <c r="H229" s="41"/>
      <c r="I229" s="41"/>
    </row>
    <row r="230" spans="1:9" x14ac:dyDescent="0.35">
      <c r="A230" s="41"/>
      <c r="B230" s="41"/>
      <c r="C230" s="41"/>
      <c r="D230" s="41"/>
      <c r="E230" s="41"/>
      <c r="F230" s="41"/>
      <c r="G230" s="41"/>
      <c r="H230" s="41"/>
      <c r="I230" s="41"/>
    </row>
    <row r="231" spans="1:9" x14ac:dyDescent="0.35">
      <c r="A231" s="41"/>
      <c r="B231" s="41"/>
      <c r="C231" s="41"/>
      <c r="D231" s="41"/>
      <c r="E231" s="41"/>
      <c r="F231" s="41"/>
      <c r="G231" s="41"/>
      <c r="H231" s="41"/>
      <c r="I231" s="41"/>
    </row>
    <row r="232" spans="1:9" x14ac:dyDescent="0.35">
      <c r="A232" s="41"/>
      <c r="B232" s="41"/>
      <c r="C232" s="41"/>
      <c r="D232" s="41"/>
      <c r="E232" s="41"/>
      <c r="F232" s="41"/>
      <c r="G232" s="41"/>
      <c r="H232" s="41"/>
      <c r="I232" s="41"/>
    </row>
    <row r="233" spans="1:9" x14ac:dyDescent="0.35">
      <c r="A233" s="41"/>
      <c r="B233" s="41"/>
      <c r="C233" s="41"/>
      <c r="D233" s="41"/>
      <c r="E233" s="41"/>
      <c r="F233" s="41"/>
      <c r="G233" s="41"/>
      <c r="H233" s="41"/>
      <c r="I233" s="41"/>
    </row>
    <row r="234" spans="1:9" x14ac:dyDescent="0.35">
      <c r="A234" s="41"/>
      <c r="B234" s="41"/>
      <c r="C234" s="41"/>
      <c r="D234" s="41"/>
      <c r="E234" s="41"/>
      <c r="F234" s="41"/>
      <c r="G234" s="41"/>
      <c r="H234" s="41"/>
      <c r="I234" s="41"/>
    </row>
    <row r="235" spans="1:9" x14ac:dyDescent="0.35">
      <c r="A235" s="41"/>
      <c r="B235" s="41"/>
      <c r="C235" s="41"/>
      <c r="D235" s="41"/>
      <c r="E235" s="41"/>
      <c r="F235" s="41"/>
      <c r="G235" s="41"/>
      <c r="H235" s="41"/>
      <c r="I235" s="41"/>
    </row>
    <row r="236" spans="1:9" x14ac:dyDescent="0.35">
      <c r="A236" s="41"/>
      <c r="B236" s="41"/>
      <c r="C236" s="41"/>
      <c r="D236" s="41"/>
      <c r="E236" s="41"/>
      <c r="F236" s="41"/>
      <c r="G236" s="41"/>
      <c r="H236" s="41"/>
      <c r="I236" s="41"/>
    </row>
    <row r="237" spans="1:9" x14ac:dyDescent="0.35">
      <c r="A237" s="41"/>
      <c r="B237" s="41"/>
      <c r="C237" s="41"/>
      <c r="D237" s="41"/>
      <c r="E237" s="41"/>
      <c r="F237" s="41"/>
      <c r="G237" s="41"/>
      <c r="H237" s="41"/>
      <c r="I237" s="41"/>
    </row>
    <row r="238" spans="1:9" x14ac:dyDescent="0.35">
      <c r="A238" s="41"/>
      <c r="B238" s="41"/>
      <c r="C238" s="41"/>
      <c r="D238" s="41"/>
      <c r="E238" s="41"/>
      <c r="F238" s="41"/>
      <c r="G238" s="41"/>
      <c r="H238" s="41"/>
      <c r="I238" s="41"/>
    </row>
    <row r="239" spans="1:9" x14ac:dyDescent="0.35">
      <c r="A239" s="41"/>
      <c r="B239" s="41"/>
      <c r="C239" s="41"/>
      <c r="D239" s="41"/>
      <c r="E239" s="41"/>
      <c r="F239" s="41"/>
      <c r="G239" s="41"/>
      <c r="H239" s="41"/>
      <c r="I239" s="41"/>
    </row>
    <row r="240" spans="1:9" x14ac:dyDescent="0.35">
      <c r="A240" s="41"/>
      <c r="B240" s="41"/>
      <c r="C240" s="41"/>
      <c r="D240" s="41"/>
      <c r="E240" s="41"/>
      <c r="F240" s="41"/>
      <c r="G240" s="41"/>
      <c r="H240" s="41"/>
      <c r="I240" s="41"/>
    </row>
    <row r="241" spans="1:9" x14ac:dyDescent="0.35">
      <c r="A241" s="41"/>
      <c r="B241" s="41"/>
      <c r="C241" s="41"/>
      <c r="D241" s="41"/>
      <c r="E241" s="41"/>
      <c r="F241" s="41"/>
      <c r="G241" s="41"/>
      <c r="H241" s="41"/>
      <c r="I241" s="41"/>
    </row>
    <row r="242" spans="1:9" x14ac:dyDescent="0.35">
      <c r="A242" s="41"/>
      <c r="B242" s="41"/>
      <c r="C242" s="41"/>
      <c r="D242" s="41"/>
      <c r="E242" s="41"/>
      <c r="F242" s="41"/>
      <c r="G242" s="41"/>
      <c r="H242" s="41"/>
      <c r="I242" s="41"/>
    </row>
    <row r="243" spans="1:9" x14ac:dyDescent="0.35">
      <c r="A243" s="41"/>
      <c r="B243" s="41"/>
      <c r="C243" s="41"/>
      <c r="D243" s="41"/>
      <c r="E243" s="41"/>
      <c r="F243" s="41"/>
      <c r="G243" s="41"/>
      <c r="H243" s="41"/>
      <c r="I243" s="41"/>
    </row>
    <row r="244" spans="1:9" x14ac:dyDescent="0.35">
      <c r="A244" s="41"/>
      <c r="B244" s="41"/>
      <c r="C244" s="41"/>
      <c r="D244" s="41"/>
      <c r="E244" s="41"/>
      <c r="F244" s="41"/>
      <c r="G244" s="41"/>
      <c r="H244" s="41"/>
      <c r="I244" s="41"/>
    </row>
    <row r="245" spans="1:9" x14ac:dyDescent="0.35">
      <c r="A245" s="41"/>
      <c r="B245" s="41"/>
      <c r="C245" s="41"/>
      <c r="D245" s="41"/>
      <c r="E245" s="41"/>
      <c r="F245" s="41"/>
      <c r="G245" s="41"/>
      <c r="H245" s="41"/>
      <c r="I245" s="41"/>
    </row>
    <row r="246" spans="1:9" x14ac:dyDescent="0.35">
      <c r="A246" s="41"/>
      <c r="B246" s="41"/>
      <c r="C246" s="41"/>
      <c r="D246" s="41"/>
      <c r="E246" s="41"/>
      <c r="F246" s="41"/>
      <c r="G246" s="41"/>
      <c r="H246" s="41"/>
      <c r="I246" s="41"/>
    </row>
    <row r="247" spans="1:9" x14ac:dyDescent="0.35">
      <c r="A247" s="41"/>
      <c r="B247" s="41"/>
      <c r="C247" s="41"/>
      <c r="D247" s="41"/>
      <c r="E247" s="41"/>
      <c r="F247" s="41"/>
      <c r="G247" s="41"/>
      <c r="H247" s="41"/>
      <c r="I247" s="41"/>
    </row>
    <row r="248" spans="1:9" x14ac:dyDescent="0.35">
      <c r="A248" s="41"/>
      <c r="B248" s="41"/>
      <c r="C248" s="41"/>
      <c r="D248" s="41"/>
      <c r="E248" s="41"/>
      <c r="F248" s="41"/>
      <c r="G248" s="41"/>
      <c r="H248" s="41"/>
      <c r="I248" s="41"/>
    </row>
    <row r="249" spans="1:9" x14ac:dyDescent="0.35">
      <c r="A249" s="41"/>
      <c r="B249" s="41"/>
      <c r="C249" s="41"/>
      <c r="D249" s="41"/>
      <c r="E249" s="41"/>
      <c r="F249" s="41"/>
      <c r="G249" s="41"/>
      <c r="H249" s="41"/>
      <c r="I249" s="41"/>
    </row>
    <row r="250" spans="1:9" x14ac:dyDescent="0.35">
      <c r="A250" s="41"/>
      <c r="B250" s="41"/>
      <c r="C250" s="41"/>
      <c r="D250" s="41"/>
      <c r="E250" s="41"/>
      <c r="F250" s="41"/>
      <c r="G250" s="41"/>
      <c r="H250" s="41"/>
      <c r="I250" s="41"/>
    </row>
    <row r="251" spans="1:9" x14ac:dyDescent="0.35">
      <c r="A251" s="41"/>
      <c r="B251" s="41"/>
      <c r="C251" s="41"/>
      <c r="D251" s="41"/>
      <c r="E251" s="41"/>
      <c r="F251" s="41"/>
      <c r="G251" s="41"/>
      <c r="H251" s="41"/>
      <c r="I251" s="41"/>
    </row>
    <row r="252" spans="1:9" x14ac:dyDescent="0.35">
      <c r="A252" s="41"/>
      <c r="B252" s="41"/>
      <c r="C252" s="41"/>
      <c r="D252" s="41"/>
      <c r="E252" s="41"/>
      <c r="F252" s="41"/>
      <c r="G252" s="41"/>
      <c r="H252" s="41"/>
      <c r="I252" s="41"/>
    </row>
    <row r="253" spans="1:9" x14ac:dyDescent="0.35">
      <c r="A253" s="41"/>
      <c r="B253" s="41"/>
      <c r="C253" s="41"/>
      <c r="D253" s="41"/>
      <c r="E253" s="41"/>
      <c r="F253" s="41"/>
      <c r="G253" s="41"/>
      <c r="H253" s="41"/>
      <c r="I253" s="41"/>
    </row>
    <row r="254" spans="1:9" x14ac:dyDescent="0.35">
      <c r="A254" s="41"/>
      <c r="B254" s="41"/>
      <c r="C254" s="41"/>
      <c r="D254" s="41"/>
      <c r="E254" s="41"/>
      <c r="F254" s="41"/>
      <c r="G254" s="41"/>
      <c r="H254" s="41"/>
      <c r="I254" s="41"/>
    </row>
    <row r="255" spans="1:9" x14ac:dyDescent="0.35">
      <c r="A255" s="41"/>
      <c r="B255" s="41"/>
      <c r="C255" s="41"/>
      <c r="D255" s="41"/>
      <c r="E255" s="41"/>
      <c r="F255" s="41"/>
      <c r="G255" s="41"/>
      <c r="H255" s="41"/>
      <c r="I255" s="41"/>
    </row>
    <row r="256" spans="1:9" x14ac:dyDescent="0.35">
      <c r="A256" s="41"/>
      <c r="B256" s="41"/>
      <c r="C256" s="41"/>
      <c r="D256" s="41"/>
      <c r="E256" s="41"/>
      <c r="F256" s="41"/>
      <c r="G256" s="41"/>
      <c r="H256" s="41"/>
      <c r="I256" s="41"/>
    </row>
    <row r="257" spans="1:9" x14ac:dyDescent="0.35">
      <c r="A257" s="41"/>
      <c r="B257" s="41"/>
      <c r="C257" s="41"/>
      <c r="D257" s="41"/>
      <c r="E257" s="41"/>
      <c r="F257" s="41"/>
      <c r="G257" s="41"/>
      <c r="H257" s="41"/>
      <c r="I257" s="41"/>
    </row>
    <row r="258" spans="1:9" x14ac:dyDescent="0.35">
      <c r="A258" s="41"/>
      <c r="B258" s="41"/>
      <c r="C258" s="41"/>
      <c r="D258" s="41"/>
      <c r="E258" s="41"/>
      <c r="F258" s="41"/>
      <c r="G258" s="41"/>
      <c r="H258" s="41"/>
      <c r="I258" s="41"/>
    </row>
    <row r="259" spans="1:9" x14ac:dyDescent="0.35">
      <c r="A259" s="41"/>
      <c r="B259" s="41"/>
      <c r="C259" s="41"/>
      <c r="D259" s="41"/>
      <c r="E259" s="41"/>
      <c r="F259" s="41"/>
      <c r="G259" s="41"/>
      <c r="H259" s="41"/>
      <c r="I259" s="41"/>
    </row>
    <row r="260" spans="1:9" x14ac:dyDescent="0.35">
      <c r="A260" s="41"/>
      <c r="B260" s="41"/>
      <c r="C260" s="41"/>
      <c r="D260" s="41"/>
      <c r="E260" s="41"/>
      <c r="F260" s="41"/>
      <c r="G260" s="41"/>
      <c r="H260" s="41"/>
      <c r="I260" s="41"/>
    </row>
  </sheetData>
  <mergeCells count="2">
    <mergeCell ref="S2:T2"/>
    <mergeCell ref="L2:M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7216F4-B816-4D1C-98BD-DB109E09B090}">
  <sheetPr>
    <tabColor rgb="FF0070C0"/>
  </sheetPr>
  <dimension ref="A1:E31"/>
  <sheetViews>
    <sheetView workbookViewId="0">
      <selection sqref="A1:E1"/>
    </sheetView>
  </sheetViews>
  <sheetFormatPr defaultRowHeight="14.5" x14ac:dyDescent="0.35"/>
  <cols>
    <col min="1" max="1" width="18.26953125" style="7" customWidth="1"/>
    <col min="2" max="2" width="18.90625" style="7" customWidth="1"/>
    <col min="3" max="3" width="12.36328125" style="7" customWidth="1"/>
    <col min="4" max="4" width="17" style="7" customWidth="1"/>
    <col min="5" max="5" width="10.54296875" style="7" customWidth="1"/>
  </cols>
  <sheetData>
    <row r="1" spans="1:5" x14ac:dyDescent="0.35">
      <c r="A1" s="305" t="s">
        <v>10</v>
      </c>
      <c r="B1" s="306"/>
      <c r="C1" s="306"/>
      <c r="D1" s="306"/>
      <c r="E1" s="307"/>
    </row>
    <row r="2" spans="1:5" ht="15" thickBot="1" x14ac:dyDescent="0.4">
      <c r="A2" s="302" t="s">
        <v>11</v>
      </c>
      <c r="B2" s="303"/>
      <c r="C2" s="303"/>
      <c r="D2" s="303"/>
      <c r="E2" s="304"/>
    </row>
    <row r="3" spans="1:5" ht="58.5" thickBot="1" x14ac:dyDescent="0.4">
      <c r="A3" s="164" t="s">
        <v>30</v>
      </c>
      <c r="B3" s="8" t="s">
        <v>12</v>
      </c>
      <c r="C3" s="9" t="s">
        <v>21</v>
      </c>
      <c r="D3" s="9" t="s">
        <v>20</v>
      </c>
      <c r="E3" s="10" t="s">
        <v>13</v>
      </c>
    </row>
    <row r="4" spans="1:5" x14ac:dyDescent="0.35">
      <c r="A4" s="308" t="s">
        <v>14</v>
      </c>
      <c r="B4" s="1" t="s">
        <v>229</v>
      </c>
      <c r="C4" s="194">
        <v>0</v>
      </c>
      <c r="D4" s="194">
        <v>5.8999999999999997E-2</v>
      </c>
      <c r="E4" s="2">
        <v>134.4</v>
      </c>
    </row>
    <row r="5" spans="1:5" x14ac:dyDescent="0.35">
      <c r="A5" s="309"/>
      <c r="B5" s="3" t="s">
        <v>230</v>
      </c>
      <c r="C5" s="195">
        <v>0.06</v>
      </c>
      <c r="D5" s="195">
        <v>9.9000000000000005E-2</v>
      </c>
      <c r="E5" s="4">
        <v>130.02000000000001</v>
      </c>
    </row>
    <row r="6" spans="1:5" x14ac:dyDescent="0.35">
      <c r="A6" s="309"/>
      <c r="B6" s="3" t="s">
        <v>231</v>
      </c>
      <c r="C6" s="195">
        <v>0.1</v>
      </c>
      <c r="D6" s="195">
        <v>0.29899999999999999</v>
      </c>
      <c r="E6" s="4">
        <v>106.38</v>
      </c>
    </row>
    <row r="7" spans="1:5" x14ac:dyDescent="0.35">
      <c r="A7" s="309"/>
      <c r="B7" s="3" t="s">
        <v>232</v>
      </c>
      <c r="C7" s="195">
        <v>0.3</v>
      </c>
      <c r="D7" s="195">
        <v>0.39900000000000002</v>
      </c>
      <c r="E7" s="4">
        <v>88.65</v>
      </c>
    </row>
    <row r="8" spans="1:5" x14ac:dyDescent="0.35">
      <c r="A8" s="309"/>
      <c r="B8" s="3" t="s">
        <v>233</v>
      </c>
      <c r="C8" s="195">
        <v>0.4</v>
      </c>
      <c r="D8" s="195">
        <v>0.69899999999999995</v>
      </c>
      <c r="E8" s="4">
        <v>82.74</v>
      </c>
    </row>
    <row r="9" spans="1:5" ht="15" thickBot="1" x14ac:dyDescent="0.4">
      <c r="A9" s="310"/>
      <c r="B9" s="3" t="s">
        <v>234</v>
      </c>
      <c r="C9" s="195">
        <v>0.7</v>
      </c>
      <c r="D9" s="195">
        <v>999999</v>
      </c>
      <c r="E9" s="4">
        <v>78.069999999999993</v>
      </c>
    </row>
    <row r="10" spans="1:5" x14ac:dyDescent="0.35">
      <c r="A10" s="308" t="s">
        <v>15</v>
      </c>
      <c r="B10" s="1" t="s">
        <v>235</v>
      </c>
      <c r="C10" s="194">
        <v>0</v>
      </c>
      <c r="D10" s="194">
        <v>9.9990000000000006</v>
      </c>
      <c r="E10" s="2">
        <v>78.069999999999993</v>
      </c>
    </row>
    <row r="11" spans="1:5" x14ac:dyDescent="0.35">
      <c r="A11" s="309"/>
      <c r="B11" s="3" t="s">
        <v>236</v>
      </c>
      <c r="C11" s="195">
        <v>10</v>
      </c>
      <c r="D11" s="195">
        <v>19.998999999999999</v>
      </c>
      <c r="E11" s="4">
        <v>70.319999999999993</v>
      </c>
    </row>
    <row r="12" spans="1:5" ht="15" thickBot="1" x14ac:dyDescent="0.4">
      <c r="A12" s="310"/>
      <c r="B12" s="5" t="s">
        <v>237</v>
      </c>
      <c r="C12" s="196">
        <v>20</v>
      </c>
      <c r="D12" s="196">
        <v>999999</v>
      </c>
      <c r="E12" s="6">
        <v>65.010000000000005</v>
      </c>
    </row>
    <row r="13" spans="1:5" x14ac:dyDescent="0.35">
      <c r="A13" s="299" t="s">
        <v>227</v>
      </c>
      <c r="B13" s="1" t="s">
        <v>238</v>
      </c>
      <c r="C13" s="194">
        <v>0</v>
      </c>
      <c r="D13" s="194">
        <v>9.9000000000000005E-2</v>
      </c>
      <c r="E13" s="2">
        <v>157.79</v>
      </c>
    </row>
    <row r="14" spans="1:5" x14ac:dyDescent="0.35">
      <c r="A14" s="300"/>
      <c r="B14" s="3" t="s">
        <v>239</v>
      </c>
      <c r="C14" s="195">
        <v>0.1</v>
      </c>
      <c r="D14" s="195">
        <v>0.249</v>
      </c>
      <c r="E14" s="4">
        <v>106.38</v>
      </c>
    </row>
    <row r="15" spans="1:5" x14ac:dyDescent="0.35">
      <c r="A15" s="300"/>
      <c r="B15" s="3" t="s">
        <v>240</v>
      </c>
      <c r="C15" s="195">
        <v>0.25</v>
      </c>
      <c r="D15" s="195">
        <v>0.39900000000000002</v>
      </c>
      <c r="E15" s="4">
        <v>88.65</v>
      </c>
    </row>
    <row r="16" spans="1:5" x14ac:dyDescent="0.35">
      <c r="A16" s="300"/>
      <c r="B16" s="3" t="s">
        <v>233</v>
      </c>
      <c r="C16" s="195">
        <v>0.4</v>
      </c>
      <c r="D16" s="195">
        <v>0.69899999999999995</v>
      </c>
      <c r="E16" s="4">
        <v>82.74</v>
      </c>
    </row>
    <row r="17" spans="1:5" ht="15" thickBot="1" x14ac:dyDescent="0.4">
      <c r="A17" s="301"/>
      <c r="B17" s="5" t="s">
        <v>234</v>
      </c>
      <c r="C17" s="196">
        <v>0.7</v>
      </c>
      <c r="D17" s="196">
        <v>999999</v>
      </c>
      <c r="E17" s="6">
        <v>78.069999999999993</v>
      </c>
    </row>
    <row r="18" spans="1:5" x14ac:dyDescent="0.35">
      <c r="A18" s="299" t="s">
        <v>228</v>
      </c>
      <c r="B18" s="1" t="s">
        <v>238</v>
      </c>
      <c r="C18" s="194">
        <v>0</v>
      </c>
      <c r="D18" s="194">
        <v>9.9000000000000005E-2</v>
      </c>
      <c r="E18" s="2">
        <v>165.69</v>
      </c>
    </row>
    <row r="19" spans="1:5" x14ac:dyDescent="0.35">
      <c r="A19" s="300"/>
      <c r="B19" s="3" t="s">
        <v>239</v>
      </c>
      <c r="C19" s="195">
        <v>0.1</v>
      </c>
      <c r="D19" s="195">
        <v>0.249</v>
      </c>
      <c r="E19" s="4">
        <v>111.7</v>
      </c>
    </row>
    <row r="20" spans="1:5" x14ac:dyDescent="0.35">
      <c r="A20" s="300"/>
      <c r="B20" s="3" t="s">
        <v>240</v>
      </c>
      <c r="C20" s="195">
        <v>0.25</v>
      </c>
      <c r="D20" s="195">
        <v>0.39900000000000002</v>
      </c>
      <c r="E20" s="4">
        <v>93.08</v>
      </c>
    </row>
    <row r="21" spans="1:5" x14ac:dyDescent="0.35">
      <c r="A21" s="300"/>
      <c r="B21" s="3" t="s">
        <v>233</v>
      </c>
      <c r="C21" s="195">
        <v>0.4</v>
      </c>
      <c r="D21" s="195">
        <v>0.69899999999999995</v>
      </c>
      <c r="E21" s="4">
        <v>86.88</v>
      </c>
    </row>
    <row r="22" spans="1:5" ht="15" thickBot="1" x14ac:dyDescent="0.4">
      <c r="A22" s="301"/>
      <c r="B22" s="5" t="s">
        <v>234</v>
      </c>
      <c r="C22" s="196">
        <v>0.7</v>
      </c>
      <c r="D22" s="196">
        <v>999999</v>
      </c>
      <c r="E22" s="6">
        <v>81.97</v>
      </c>
    </row>
    <row r="23" spans="1:5" x14ac:dyDescent="0.35">
      <c r="A23" s="308" t="s">
        <v>17</v>
      </c>
      <c r="B23" s="1" t="s">
        <v>238</v>
      </c>
      <c r="C23" s="194">
        <v>0</v>
      </c>
      <c r="D23" s="194">
        <v>9.9000000000000005E-2</v>
      </c>
      <c r="E23" s="2">
        <v>153.65</v>
      </c>
    </row>
    <row r="24" spans="1:5" x14ac:dyDescent="0.35">
      <c r="A24" s="309"/>
      <c r="B24" s="3" t="s">
        <v>241</v>
      </c>
      <c r="C24" s="195">
        <v>0.1</v>
      </c>
      <c r="D24" s="195">
        <v>0.374</v>
      </c>
      <c r="E24" s="4">
        <v>112.29</v>
      </c>
    </row>
    <row r="25" spans="1:5" x14ac:dyDescent="0.35">
      <c r="A25" s="309"/>
      <c r="B25" s="3" t="s">
        <v>242</v>
      </c>
      <c r="C25" s="195">
        <v>0.375</v>
      </c>
      <c r="D25" s="195">
        <v>0.69899999999999995</v>
      </c>
      <c r="E25" s="4">
        <v>82.74</v>
      </c>
    </row>
    <row r="26" spans="1:5" x14ac:dyDescent="0.35">
      <c r="A26" s="309"/>
      <c r="B26" s="3" t="s">
        <v>243</v>
      </c>
      <c r="C26" s="195">
        <v>0.7</v>
      </c>
      <c r="D26" s="195">
        <v>3.9990000000000001</v>
      </c>
      <c r="E26" s="4">
        <v>78.069999999999993</v>
      </c>
    </row>
    <row r="27" spans="1:5" ht="15" thickBot="1" x14ac:dyDescent="0.4">
      <c r="A27" s="310"/>
      <c r="B27" s="5" t="s">
        <v>18</v>
      </c>
      <c r="C27" s="196">
        <v>4</v>
      </c>
      <c r="D27" s="196">
        <v>999999</v>
      </c>
      <c r="E27" s="6">
        <v>65.010000000000005</v>
      </c>
    </row>
    <row r="28" spans="1:5" x14ac:dyDescent="0.35">
      <c r="A28" s="299" t="s">
        <v>19</v>
      </c>
      <c r="B28" s="1" t="s">
        <v>16</v>
      </c>
      <c r="C28" s="194">
        <v>0</v>
      </c>
      <c r="D28" s="194">
        <v>9.9000000000000005E-2</v>
      </c>
      <c r="E28" s="2">
        <v>236.4</v>
      </c>
    </row>
    <row r="29" spans="1:5" x14ac:dyDescent="0.35">
      <c r="A29" s="300"/>
      <c r="B29" s="3" t="s">
        <v>241</v>
      </c>
      <c r="C29" s="195">
        <v>0.1</v>
      </c>
      <c r="D29" s="195">
        <v>0.374</v>
      </c>
      <c r="E29" s="4">
        <v>112.29</v>
      </c>
    </row>
    <row r="30" spans="1:5" x14ac:dyDescent="0.35">
      <c r="A30" s="300"/>
      <c r="B30" s="3" t="s">
        <v>242</v>
      </c>
      <c r="C30" s="195">
        <v>0.375</v>
      </c>
      <c r="D30" s="195">
        <v>0.69899999999999995</v>
      </c>
      <c r="E30" s="4">
        <v>82.74</v>
      </c>
    </row>
    <row r="31" spans="1:5" ht="15" thickBot="1" x14ac:dyDescent="0.4">
      <c r="A31" s="301"/>
      <c r="B31" s="5" t="s">
        <v>234</v>
      </c>
      <c r="C31" s="196">
        <v>0.7</v>
      </c>
      <c r="D31" s="196">
        <v>999999</v>
      </c>
      <c r="E31" s="6">
        <v>78.069999999999993</v>
      </c>
    </row>
  </sheetData>
  <mergeCells count="8">
    <mergeCell ref="A28:A31"/>
    <mergeCell ref="A2:E2"/>
    <mergeCell ref="A1:E1"/>
    <mergeCell ref="A4:A9"/>
    <mergeCell ref="A10:A12"/>
    <mergeCell ref="A13:A17"/>
    <mergeCell ref="A18:A22"/>
    <mergeCell ref="A23:A2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7F6C06-9FCB-4317-939A-49D03A96CB84}">
  <sheetPr>
    <tabColor theme="5" tint="-0.499984740745262"/>
  </sheetPr>
  <dimension ref="B2:X23"/>
  <sheetViews>
    <sheetView showGridLines="0" workbookViewId="0">
      <selection activeCell="M18" sqref="M18"/>
    </sheetView>
  </sheetViews>
  <sheetFormatPr defaultRowHeight="14.5" x14ac:dyDescent="0.35"/>
  <cols>
    <col min="1" max="1" width="4.7265625" customWidth="1"/>
  </cols>
  <sheetData>
    <row r="2" spans="2:24" x14ac:dyDescent="0.35">
      <c r="B2" s="311" t="s">
        <v>15</v>
      </c>
      <c r="C2" s="317" t="s">
        <v>267</v>
      </c>
      <c r="D2" s="319"/>
      <c r="E2" s="319"/>
      <c r="F2" s="318"/>
      <c r="G2" s="317" t="s">
        <v>268</v>
      </c>
      <c r="H2" s="319"/>
      <c r="I2" s="319"/>
      <c r="J2" s="318"/>
      <c r="K2" s="314" t="s">
        <v>269</v>
      </c>
      <c r="L2" s="315"/>
      <c r="M2" s="315"/>
      <c r="N2" s="315"/>
      <c r="O2" s="316"/>
      <c r="P2" s="314" t="s">
        <v>270</v>
      </c>
      <c r="Q2" s="315"/>
      <c r="R2" s="315"/>
      <c r="S2" s="315"/>
      <c r="T2" s="316"/>
    </row>
    <row r="3" spans="2:24" x14ac:dyDescent="0.35">
      <c r="B3" s="312"/>
      <c r="C3" s="317" t="s">
        <v>264</v>
      </c>
      <c r="D3" s="318"/>
      <c r="E3" s="317" t="s">
        <v>265</v>
      </c>
      <c r="F3" s="318"/>
      <c r="G3" s="317" t="s">
        <v>264</v>
      </c>
      <c r="H3" s="318"/>
      <c r="I3" s="317" t="s">
        <v>265</v>
      </c>
      <c r="J3" s="318"/>
      <c r="K3" s="314" t="s">
        <v>264</v>
      </c>
      <c r="L3" s="316"/>
      <c r="M3" s="314" t="s">
        <v>265</v>
      </c>
      <c r="N3" s="315"/>
      <c r="O3" s="269" t="s">
        <v>275</v>
      </c>
      <c r="P3" s="314" t="s">
        <v>264</v>
      </c>
      <c r="Q3" s="316"/>
      <c r="R3" s="314" t="s">
        <v>265</v>
      </c>
      <c r="S3" s="315"/>
      <c r="T3" s="269" t="s">
        <v>275</v>
      </c>
    </row>
    <row r="4" spans="2:24" x14ac:dyDescent="0.35">
      <c r="B4" s="312"/>
      <c r="C4" s="267" t="s">
        <v>271</v>
      </c>
      <c r="D4" s="267" t="s">
        <v>272</v>
      </c>
      <c r="E4" s="267" t="s">
        <v>271</v>
      </c>
      <c r="F4" s="267" t="s">
        <v>272</v>
      </c>
      <c r="G4" s="267" t="s">
        <v>271</v>
      </c>
      <c r="H4" s="267" t="s">
        <v>272</v>
      </c>
      <c r="I4" s="267" t="s">
        <v>271</v>
      </c>
      <c r="J4" s="267" t="s">
        <v>272</v>
      </c>
      <c r="K4" s="269" t="s">
        <v>271</v>
      </c>
      <c r="L4" s="269" t="s">
        <v>274</v>
      </c>
      <c r="M4" s="269" t="s">
        <v>271</v>
      </c>
      <c r="N4" s="269" t="s">
        <v>274</v>
      </c>
      <c r="O4" s="269" t="s">
        <v>274</v>
      </c>
      <c r="P4" s="269" t="s">
        <v>271</v>
      </c>
      <c r="Q4" s="269" t="s">
        <v>274</v>
      </c>
      <c r="R4" s="269" t="s">
        <v>271</v>
      </c>
      <c r="S4" s="269" t="s">
        <v>274</v>
      </c>
      <c r="T4" s="269" t="s">
        <v>274</v>
      </c>
      <c r="V4" s="269" t="s">
        <v>277</v>
      </c>
    </row>
    <row r="5" spans="2:24" x14ac:dyDescent="0.35">
      <c r="B5" s="313"/>
      <c r="C5" s="268" t="s">
        <v>273</v>
      </c>
      <c r="D5" s="268" t="s">
        <v>273</v>
      </c>
      <c r="E5" s="268" t="s">
        <v>273</v>
      </c>
      <c r="F5" s="268" t="s">
        <v>273</v>
      </c>
      <c r="G5" s="268" t="s">
        <v>273</v>
      </c>
      <c r="H5" s="268" t="s">
        <v>273</v>
      </c>
      <c r="I5" s="268" t="s">
        <v>273</v>
      </c>
      <c r="J5" s="268" t="s">
        <v>273</v>
      </c>
      <c r="K5" s="268" t="s">
        <v>273</v>
      </c>
      <c r="L5" s="268" t="s">
        <v>273</v>
      </c>
      <c r="M5" s="268" t="s">
        <v>273</v>
      </c>
      <c r="N5" s="268" t="s">
        <v>273</v>
      </c>
      <c r="O5" s="268" t="s">
        <v>273</v>
      </c>
      <c r="P5" s="268" t="s">
        <v>273</v>
      </c>
      <c r="Q5" s="268" t="s">
        <v>273</v>
      </c>
      <c r="R5" s="268" t="s">
        <v>273</v>
      </c>
      <c r="S5" s="268" t="s">
        <v>273</v>
      </c>
      <c r="T5" s="268" t="s">
        <v>273</v>
      </c>
      <c r="V5" s="268" t="s">
        <v>273</v>
      </c>
    </row>
    <row r="8" spans="2:24" x14ac:dyDescent="0.35">
      <c r="B8" s="311" t="s">
        <v>118</v>
      </c>
      <c r="C8" s="317" t="s">
        <v>267</v>
      </c>
      <c r="D8" s="319"/>
      <c r="E8" s="319"/>
      <c r="F8" s="318"/>
      <c r="G8" s="317" t="s">
        <v>268</v>
      </c>
      <c r="H8" s="319"/>
      <c r="I8" s="319"/>
      <c r="J8" s="318"/>
      <c r="K8" s="314" t="s">
        <v>269</v>
      </c>
      <c r="L8" s="315"/>
      <c r="M8" s="315"/>
      <c r="N8" s="315"/>
      <c r="O8" s="316"/>
      <c r="P8" s="314" t="s">
        <v>270</v>
      </c>
      <c r="Q8" s="315"/>
      <c r="R8" s="315"/>
      <c r="S8" s="315"/>
      <c r="T8" s="316"/>
    </row>
    <row r="9" spans="2:24" x14ac:dyDescent="0.35">
      <c r="B9" s="312"/>
      <c r="C9" s="317" t="s">
        <v>264</v>
      </c>
      <c r="D9" s="318"/>
      <c r="E9" s="317" t="s">
        <v>265</v>
      </c>
      <c r="F9" s="318"/>
      <c r="G9" s="317" t="s">
        <v>264</v>
      </c>
      <c r="H9" s="318"/>
      <c r="I9" s="317" t="s">
        <v>265</v>
      </c>
      <c r="J9" s="318"/>
      <c r="K9" s="314" t="s">
        <v>264</v>
      </c>
      <c r="L9" s="316"/>
      <c r="M9" s="314" t="s">
        <v>265</v>
      </c>
      <c r="N9" s="315"/>
      <c r="O9" s="269" t="s">
        <v>275</v>
      </c>
      <c r="P9" s="314" t="s">
        <v>264</v>
      </c>
      <c r="Q9" s="316"/>
      <c r="R9" s="314" t="s">
        <v>265</v>
      </c>
      <c r="S9" s="315"/>
      <c r="T9" s="269" t="s">
        <v>275</v>
      </c>
    </row>
    <row r="10" spans="2:24" x14ac:dyDescent="0.35">
      <c r="B10" s="312"/>
      <c r="C10" s="267" t="s">
        <v>271</v>
      </c>
      <c r="D10" s="267" t="s">
        <v>272</v>
      </c>
      <c r="E10" s="267" t="s">
        <v>271</v>
      </c>
      <c r="F10" s="267" t="s">
        <v>272</v>
      </c>
      <c r="G10" s="267" t="s">
        <v>271</v>
      </c>
      <c r="H10" s="267" t="s">
        <v>272</v>
      </c>
      <c r="I10" s="267" t="s">
        <v>271</v>
      </c>
      <c r="J10" s="267" t="s">
        <v>272</v>
      </c>
      <c r="K10" s="269" t="s">
        <v>271</v>
      </c>
      <c r="L10" s="269" t="s">
        <v>274</v>
      </c>
      <c r="M10" s="269" t="s">
        <v>271</v>
      </c>
      <c r="N10" s="269" t="s">
        <v>274</v>
      </c>
      <c r="O10" s="269" t="s">
        <v>274</v>
      </c>
      <c r="P10" s="269" t="s">
        <v>271</v>
      </c>
      <c r="Q10" s="269" t="s">
        <v>274</v>
      </c>
      <c r="R10" s="269" t="s">
        <v>271</v>
      </c>
      <c r="S10" s="269" t="s">
        <v>274</v>
      </c>
      <c r="T10" s="269" t="s">
        <v>274</v>
      </c>
      <c r="W10" s="269" t="s">
        <v>279</v>
      </c>
      <c r="X10" s="269" t="s">
        <v>280</v>
      </c>
    </row>
    <row r="11" spans="2:24" x14ac:dyDescent="0.35">
      <c r="B11" s="313"/>
      <c r="C11" s="268" t="s">
        <v>273</v>
      </c>
      <c r="D11" s="268" t="s">
        <v>273</v>
      </c>
      <c r="E11" s="268" t="s">
        <v>273</v>
      </c>
      <c r="F11" s="268" t="s">
        <v>273</v>
      </c>
      <c r="G11" s="268" t="s">
        <v>273</v>
      </c>
      <c r="H11" s="268" t="s">
        <v>273</v>
      </c>
      <c r="I11" s="268" t="s">
        <v>273</v>
      </c>
      <c r="J11" s="268" t="s">
        <v>273</v>
      </c>
      <c r="K11" s="268" t="s">
        <v>273</v>
      </c>
      <c r="L11" s="268" t="s">
        <v>273</v>
      </c>
      <c r="M11" s="268" t="s">
        <v>273</v>
      </c>
      <c r="N11" s="268" t="s">
        <v>273</v>
      </c>
      <c r="O11" s="268" t="s">
        <v>273</v>
      </c>
      <c r="P11" s="268" t="s">
        <v>273</v>
      </c>
      <c r="Q11" s="268" t="s">
        <v>273</v>
      </c>
      <c r="R11" s="268" t="s">
        <v>273</v>
      </c>
      <c r="S11" s="268" t="s">
        <v>273</v>
      </c>
      <c r="T11" s="268" t="s">
        <v>273</v>
      </c>
      <c r="W11" s="268" t="s">
        <v>273</v>
      </c>
      <c r="X11" s="268" t="s">
        <v>273</v>
      </c>
    </row>
    <row r="12" spans="2:24" x14ac:dyDescent="0.35">
      <c r="T12" t="s">
        <v>278</v>
      </c>
    </row>
    <row r="14" spans="2:24" x14ac:dyDescent="0.35">
      <c r="B14" s="311" t="s">
        <v>266</v>
      </c>
      <c r="C14" s="314" t="s">
        <v>269</v>
      </c>
      <c r="D14" s="315"/>
      <c r="E14" s="315"/>
      <c r="F14" s="315"/>
      <c r="G14" s="316"/>
      <c r="H14" s="314" t="s">
        <v>270</v>
      </c>
      <c r="I14" s="315"/>
      <c r="J14" s="315"/>
      <c r="K14" s="315"/>
      <c r="L14" s="316"/>
    </row>
    <row r="15" spans="2:24" x14ac:dyDescent="0.35">
      <c r="B15" s="312"/>
      <c r="C15" s="314" t="s">
        <v>264</v>
      </c>
      <c r="D15" s="316"/>
      <c r="E15" s="314" t="s">
        <v>265</v>
      </c>
      <c r="F15" s="315"/>
      <c r="G15" s="269" t="s">
        <v>275</v>
      </c>
      <c r="H15" s="314" t="s">
        <v>264</v>
      </c>
      <c r="I15" s="316"/>
      <c r="J15" s="314" t="s">
        <v>265</v>
      </c>
      <c r="K15" s="315"/>
      <c r="L15" s="269" t="s">
        <v>275</v>
      </c>
      <c r="Q15" s="269" t="s">
        <v>277</v>
      </c>
    </row>
    <row r="16" spans="2:24" x14ac:dyDescent="0.35">
      <c r="B16" s="312"/>
      <c r="C16" s="269" t="s">
        <v>271</v>
      </c>
      <c r="D16" s="269" t="s">
        <v>274</v>
      </c>
      <c r="E16" s="269" t="s">
        <v>271</v>
      </c>
      <c r="F16" s="269" t="s">
        <v>274</v>
      </c>
      <c r="G16" s="269" t="s">
        <v>274</v>
      </c>
      <c r="H16" s="269" t="s">
        <v>271</v>
      </c>
      <c r="I16" s="269" t="s">
        <v>274</v>
      </c>
      <c r="J16" s="269" t="s">
        <v>271</v>
      </c>
      <c r="K16" s="269" t="s">
        <v>274</v>
      </c>
      <c r="L16" s="269" t="s">
        <v>274</v>
      </c>
      <c r="Q16" s="268" t="s">
        <v>273</v>
      </c>
      <c r="R16" t="s">
        <v>281</v>
      </c>
    </row>
    <row r="17" spans="2:17" x14ac:dyDescent="0.35">
      <c r="B17" s="313"/>
      <c r="C17" s="268" t="s">
        <v>273</v>
      </c>
      <c r="D17" s="268" t="s">
        <v>273</v>
      </c>
      <c r="E17" s="268" t="s">
        <v>273</v>
      </c>
      <c r="F17" s="268" t="s">
        <v>273</v>
      </c>
      <c r="G17" s="268" t="s">
        <v>273</v>
      </c>
      <c r="H17" s="268" t="s">
        <v>273</v>
      </c>
      <c r="I17" s="268" t="s">
        <v>273</v>
      </c>
      <c r="J17" s="268" t="s">
        <v>273</v>
      </c>
      <c r="K17" s="268" t="s">
        <v>273</v>
      </c>
      <c r="L17" s="268" t="s">
        <v>273</v>
      </c>
      <c r="M17" s="273" t="s">
        <v>283</v>
      </c>
    </row>
    <row r="20" spans="2:17" x14ac:dyDescent="0.35">
      <c r="B20" s="311" t="s">
        <v>14</v>
      </c>
      <c r="C20" s="314" t="s">
        <v>269</v>
      </c>
      <c r="D20" s="315"/>
      <c r="E20" s="315"/>
      <c r="F20" s="315"/>
      <c r="G20" s="316"/>
      <c r="H20" s="314" t="s">
        <v>270</v>
      </c>
      <c r="I20" s="315"/>
      <c r="J20" s="315"/>
      <c r="K20" s="315"/>
      <c r="L20" s="316"/>
    </row>
    <row r="21" spans="2:17" x14ac:dyDescent="0.35">
      <c r="B21" s="312"/>
      <c r="C21" s="270" t="s">
        <v>264</v>
      </c>
      <c r="D21" s="272"/>
      <c r="E21" s="270" t="s">
        <v>265</v>
      </c>
      <c r="F21" s="271"/>
      <c r="G21" s="269" t="s">
        <v>275</v>
      </c>
      <c r="H21" s="314" t="s">
        <v>264</v>
      </c>
      <c r="I21" s="316"/>
      <c r="J21" s="314" t="s">
        <v>265</v>
      </c>
      <c r="K21" s="315"/>
      <c r="L21" s="269" t="s">
        <v>275</v>
      </c>
    </row>
    <row r="22" spans="2:17" x14ac:dyDescent="0.35">
      <c r="B22" s="312"/>
      <c r="C22" s="269" t="s">
        <v>271</v>
      </c>
      <c r="D22" s="269" t="s">
        <v>274</v>
      </c>
      <c r="E22" s="269" t="s">
        <v>271</v>
      </c>
      <c r="F22" s="269" t="s">
        <v>274</v>
      </c>
      <c r="G22" s="269" t="s">
        <v>274</v>
      </c>
      <c r="H22" s="269" t="s">
        <v>271</v>
      </c>
      <c r="I22" s="269" t="s">
        <v>274</v>
      </c>
      <c r="J22" s="269" t="s">
        <v>271</v>
      </c>
      <c r="K22" s="269" t="s">
        <v>274</v>
      </c>
      <c r="L22" s="269" t="s">
        <v>274</v>
      </c>
      <c r="Q22" s="269" t="s">
        <v>277</v>
      </c>
    </row>
    <row r="23" spans="2:17" x14ac:dyDescent="0.35">
      <c r="B23" s="313"/>
      <c r="C23" s="268" t="s">
        <v>273</v>
      </c>
      <c r="D23" s="268" t="s">
        <v>273</v>
      </c>
      <c r="E23" s="268" t="s">
        <v>273</v>
      </c>
      <c r="F23" s="268" t="s">
        <v>273</v>
      </c>
      <c r="G23" s="268" t="s">
        <v>273</v>
      </c>
      <c r="H23" s="268" t="s">
        <v>273</v>
      </c>
      <c r="I23" s="268" t="s">
        <v>273</v>
      </c>
      <c r="J23" s="268" t="s">
        <v>273</v>
      </c>
      <c r="K23" s="268" t="s">
        <v>273</v>
      </c>
      <c r="L23" s="268" t="s">
        <v>273</v>
      </c>
      <c r="M23" s="273" t="s">
        <v>282</v>
      </c>
      <c r="Q23" s="268" t="s">
        <v>273</v>
      </c>
    </row>
  </sheetData>
  <mergeCells count="38">
    <mergeCell ref="B2:B5"/>
    <mergeCell ref="B8:B11"/>
    <mergeCell ref="C8:F8"/>
    <mergeCell ref="G8:J8"/>
    <mergeCell ref="P2:T2"/>
    <mergeCell ref="C3:D3"/>
    <mergeCell ref="E3:F3"/>
    <mergeCell ref="C2:F2"/>
    <mergeCell ref="G2:J2"/>
    <mergeCell ref="G3:H3"/>
    <mergeCell ref="I3:J3"/>
    <mergeCell ref="K2:O2"/>
    <mergeCell ref="M9:N9"/>
    <mergeCell ref="K3:L3"/>
    <mergeCell ref="P3:Q3"/>
    <mergeCell ref="R3:S3"/>
    <mergeCell ref="M3:N3"/>
    <mergeCell ref="K8:O8"/>
    <mergeCell ref="P8:T8"/>
    <mergeCell ref="P9:Q9"/>
    <mergeCell ref="R9:S9"/>
    <mergeCell ref="C9:D9"/>
    <mergeCell ref="E9:F9"/>
    <mergeCell ref="G9:H9"/>
    <mergeCell ref="I9:J9"/>
    <mergeCell ref="K9:L9"/>
    <mergeCell ref="B20:B23"/>
    <mergeCell ref="H20:L20"/>
    <mergeCell ref="B14:B17"/>
    <mergeCell ref="C14:G14"/>
    <mergeCell ref="H14:L14"/>
    <mergeCell ref="C15:D15"/>
    <mergeCell ref="C20:G20"/>
    <mergeCell ref="H21:I21"/>
    <mergeCell ref="J21:K21"/>
    <mergeCell ref="E15:F15"/>
    <mergeCell ref="H15:I15"/>
    <mergeCell ref="J15:K1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02C55-0D32-41B3-B211-20193420BBB8}">
  <sheetPr>
    <tabColor rgb="FFFFC000"/>
  </sheetPr>
  <dimension ref="A1:N31"/>
  <sheetViews>
    <sheetView showGridLines="0" workbookViewId="0">
      <selection activeCell="A4" sqref="A4:A7"/>
    </sheetView>
  </sheetViews>
  <sheetFormatPr defaultRowHeight="14.5" x14ac:dyDescent="0.35"/>
  <cols>
    <col min="1" max="1" width="18.26953125" style="12" customWidth="1"/>
    <col min="2" max="2" width="19.6328125" style="12" customWidth="1"/>
    <col min="3" max="3" width="12.1796875" style="12" bestFit="1" customWidth="1"/>
    <col min="4" max="4" width="30.36328125" style="12" bestFit="1" customWidth="1"/>
    <col min="5" max="5" width="9.1796875" style="12" customWidth="1"/>
    <col min="6" max="6" width="20.6328125" style="12" customWidth="1"/>
    <col min="7" max="7" width="18.08984375" style="12" customWidth="1"/>
    <col min="8" max="8" width="13.81640625" bestFit="1" customWidth="1"/>
    <col min="9" max="9" width="12.6328125" bestFit="1" customWidth="1"/>
    <col min="10" max="10" width="12" bestFit="1" customWidth="1"/>
    <col min="11" max="11" width="20.81640625" bestFit="1" customWidth="1"/>
    <col min="12" max="12" width="12.54296875" customWidth="1"/>
  </cols>
  <sheetData>
    <row r="1" spans="1:14" x14ac:dyDescent="0.35">
      <c r="A1" s="87" t="s">
        <v>123</v>
      </c>
      <c r="B1" s="85"/>
      <c r="C1" s="85"/>
      <c r="D1" s="85"/>
      <c r="E1" s="86"/>
      <c r="F1" s="86"/>
      <c r="G1" s="73"/>
      <c r="H1" s="73"/>
      <c r="I1" s="73"/>
      <c r="J1" s="73"/>
      <c r="K1" s="73"/>
      <c r="L1" s="73"/>
      <c r="M1" s="73"/>
    </row>
    <row r="2" spans="1:14" x14ac:dyDescent="0.35">
      <c r="A2" s="74" t="s">
        <v>123</v>
      </c>
      <c r="B2" s="75" t="s">
        <v>124</v>
      </c>
      <c r="C2" s="75" t="s">
        <v>124</v>
      </c>
      <c r="D2" s="75" t="s">
        <v>124</v>
      </c>
      <c r="E2" s="76" t="s">
        <v>124</v>
      </c>
      <c r="F2" s="76" t="s">
        <v>248</v>
      </c>
      <c r="G2" s="75"/>
      <c r="H2" s="75"/>
      <c r="I2" s="75"/>
      <c r="J2" s="75"/>
      <c r="K2" s="75"/>
      <c r="L2" s="75"/>
      <c r="M2" s="75"/>
    </row>
    <row r="3" spans="1:14" x14ac:dyDescent="0.35">
      <c r="A3" s="77"/>
      <c r="B3" s="78" t="s">
        <v>14</v>
      </c>
      <c r="C3" s="78" t="s">
        <v>17</v>
      </c>
      <c r="D3" s="78" t="s">
        <v>46</v>
      </c>
      <c r="E3" s="79" t="s">
        <v>15</v>
      </c>
      <c r="F3" s="79"/>
      <c r="G3" s="79" t="s">
        <v>125</v>
      </c>
      <c r="H3" s="79" t="s">
        <v>158</v>
      </c>
      <c r="I3" s="79" t="s">
        <v>157</v>
      </c>
      <c r="J3" s="79" t="s">
        <v>156</v>
      </c>
      <c r="K3" s="79" t="s">
        <v>254</v>
      </c>
      <c r="L3" s="79" t="s">
        <v>255</v>
      </c>
      <c r="M3" s="79" t="s">
        <v>209</v>
      </c>
      <c r="N3" s="79" t="s">
        <v>213</v>
      </c>
    </row>
    <row r="4" spans="1:14" x14ac:dyDescent="0.35">
      <c r="A4" s="12" t="s">
        <v>14</v>
      </c>
      <c r="B4" s="29" t="s">
        <v>126</v>
      </c>
      <c r="C4" s="29" t="s">
        <v>127</v>
      </c>
      <c r="D4" s="29" t="s">
        <v>128</v>
      </c>
      <c r="E4" s="80" t="s">
        <v>15</v>
      </c>
      <c r="F4" s="81" t="s">
        <v>15</v>
      </c>
      <c r="G4" s="80" t="s">
        <v>129</v>
      </c>
      <c r="H4" s="80" t="s">
        <v>155</v>
      </c>
      <c r="I4" t="s">
        <v>154</v>
      </c>
      <c r="J4" t="s">
        <v>155</v>
      </c>
      <c r="K4" t="s">
        <v>159</v>
      </c>
      <c r="L4" t="s">
        <v>160</v>
      </c>
      <c r="M4" t="s">
        <v>208</v>
      </c>
    </row>
    <row r="5" spans="1:14" x14ac:dyDescent="0.35">
      <c r="A5" s="81" t="s">
        <v>17</v>
      </c>
      <c r="B5" s="29" t="s">
        <v>130</v>
      </c>
      <c r="C5" s="29" t="s">
        <v>131</v>
      </c>
      <c r="D5" s="29" t="s">
        <v>145</v>
      </c>
      <c r="E5" s="80"/>
      <c r="F5" s="81" t="s">
        <v>46</v>
      </c>
      <c r="G5" s="29" t="s">
        <v>132</v>
      </c>
      <c r="H5" s="29" t="s">
        <v>24</v>
      </c>
      <c r="I5" s="29"/>
      <c r="K5" t="s">
        <v>140</v>
      </c>
      <c r="L5" t="s">
        <v>140</v>
      </c>
      <c r="M5" t="s">
        <v>210</v>
      </c>
    </row>
    <row r="6" spans="1:14" x14ac:dyDescent="0.35">
      <c r="A6" s="81" t="s">
        <v>46</v>
      </c>
      <c r="B6" s="29" t="s">
        <v>133</v>
      </c>
      <c r="C6" s="29" t="s">
        <v>134</v>
      </c>
      <c r="D6" s="29" t="s">
        <v>146</v>
      </c>
      <c r="E6" s="80"/>
      <c r="F6" s="80"/>
      <c r="G6" s="29"/>
      <c r="M6" t="s">
        <v>211</v>
      </c>
    </row>
    <row r="7" spans="1:14" x14ac:dyDescent="0.35">
      <c r="A7" s="81" t="s">
        <v>15</v>
      </c>
      <c r="B7" s="29" t="s">
        <v>135</v>
      </c>
      <c r="C7" s="29" t="s">
        <v>19</v>
      </c>
      <c r="D7" s="29" t="s">
        <v>147</v>
      </c>
      <c r="E7" s="80"/>
      <c r="F7" s="80"/>
      <c r="G7" s="29"/>
      <c r="M7" t="s">
        <v>212</v>
      </c>
    </row>
    <row r="8" spans="1:14" x14ac:dyDescent="0.35">
      <c r="A8" s="81"/>
      <c r="B8" s="29" t="s">
        <v>141</v>
      </c>
      <c r="C8" s="29"/>
      <c r="D8" s="41" t="s">
        <v>148</v>
      </c>
      <c r="E8" s="80"/>
      <c r="F8" s="80"/>
      <c r="G8" s="29"/>
    </row>
    <row r="9" spans="1:14" x14ac:dyDescent="0.35">
      <c r="A9" s="81"/>
      <c r="B9" s="12" t="s">
        <v>142</v>
      </c>
      <c r="C9" s="29"/>
      <c r="D9" s="41" t="s">
        <v>137</v>
      </c>
      <c r="E9" s="80"/>
      <c r="F9" s="80"/>
      <c r="G9" s="29"/>
    </row>
    <row r="10" spans="1:14" x14ac:dyDescent="0.35">
      <c r="A10" s="81"/>
      <c r="B10" s="12" t="s">
        <v>143</v>
      </c>
      <c r="C10" s="29"/>
      <c r="D10" s="41"/>
      <c r="E10" s="80"/>
      <c r="F10" s="80"/>
      <c r="G10" s="29"/>
    </row>
    <row r="11" spans="1:14" x14ac:dyDescent="0.35">
      <c r="A11" s="81"/>
      <c r="B11" s="29" t="s">
        <v>136</v>
      </c>
      <c r="C11" s="29"/>
      <c r="D11" s="29"/>
      <c r="E11" s="80"/>
      <c r="F11" s="80"/>
      <c r="G11" s="29"/>
    </row>
    <row r="12" spans="1:14" x14ac:dyDescent="0.35">
      <c r="B12" s="29" t="s">
        <v>144</v>
      </c>
      <c r="G12" s="7"/>
    </row>
    <row r="13" spans="1:14" x14ac:dyDescent="0.35">
      <c r="B13" s="29" t="s">
        <v>138</v>
      </c>
      <c r="G13" s="7"/>
    </row>
    <row r="14" spans="1:14" x14ac:dyDescent="0.35">
      <c r="A14" s="81"/>
      <c r="B14" s="29" t="s">
        <v>139</v>
      </c>
      <c r="C14" s="29"/>
      <c r="D14" s="29"/>
      <c r="E14" s="80"/>
      <c r="F14" s="80"/>
      <c r="G14" s="29"/>
    </row>
    <row r="15" spans="1:14" x14ac:dyDescent="0.35">
      <c r="A15" s="81"/>
      <c r="C15" s="29"/>
      <c r="D15" s="29"/>
      <c r="E15" s="80"/>
      <c r="F15" s="80"/>
      <c r="G15" s="29"/>
    </row>
    <row r="16" spans="1:14" x14ac:dyDescent="0.35">
      <c r="A16" s="81"/>
      <c r="B16" s="29"/>
      <c r="C16" s="29"/>
      <c r="D16" s="29"/>
      <c r="E16" s="80"/>
      <c r="F16" s="80"/>
      <c r="G16" s="29"/>
    </row>
    <row r="17" spans="1:7" x14ac:dyDescent="0.35">
      <c r="A17" s="81"/>
      <c r="B17" s="29"/>
      <c r="C17" s="29"/>
      <c r="D17" s="29"/>
      <c r="E17" s="80"/>
      <c r="F17" s="80"/>
      <c r="G17" s="29"/>
    </row>
    <row r="18" spans="1:7" x14ac:dyDescent="0.35">
      <c r="A18" s="82"/>
      <c r="B18" s="29"/>
      <c r="C18" s="83"/>
      <c r="D18" s="29"/>
      <c r="E18" s="84"/>
      <c r="F18" s="84"/>
      <c r="G18" s="29"/>
    </row>
    <row r="19" spans="1:7" x14ac:dyDescent="0.35">
      <c r="A19" s="81"/>
      <c r="B19" s="29"/>
      <c r="C19" s="29"/>
      <c r="D19" s="29"/>
      <c r="E19" s="80"/>
      <c r="F19" s="80"/>
      <c r="G19" s="29"/>
    </row>
    <row r="20" spans="1:7" x14ac:dyDescent="0.35">
      <c r="A20" s="81"/>
      <c r="B20" s="29"/>
      <c r="C20" s="29"/>
      <c r="D20" s="29"/>
      <c r="E20" s="80"/>
      <c r="F20" s="80"/>
      <c r="G20" s="29"/>
    </row>
    <row r="21" spans="1:7" x14ac:dyDescent="0.35">
      <c r="A21" s="81"/>
      <c r="B21" s="29"/>
      <c r="C21" s="29"/>
      <c r="D21" s="29"/>
      <c r="E21" s="80"/>
      <c r="F21" s="80"/>
      <c r="G21" s="29"/>
    </row>
    <row r="22" spans="1:7" x14ac:dyDescent="0.35">
      <c r="A22" s="81"/>
      <c r="B22" s="29"/>
      <c r="C22" s="29"/>
      <c r="D22" s="29"/>
      <c r="E22" s="80"/>
      <c r="F22" s="80"/>
      <c r="G22" s="29"/>
    </row>
    <row r="23" spans="1:7" x14ac:dyDescent="0.35">
      <c r="A23" s="81"/>
      <c r="B23" s="29"/>
      <c r="C23" s="41"/>
      <c r="D23" s="29"/>
      <c r="E23" s="80"/>
      <c r="F23" s="80"/>
      <c r="G23" s="29"/>
    </row>
    <row r="24" spans="1:7" x14ac:dyDescent="0.35">
      <c r="A24" s="81"/>
      <c r="B24" s="29"/>
      <c r="C24" s="41"/>
      <c r="D24" s="29"/>
      <c r="E24" s="80"/>
      <c r="F24" s="80"/>
      <c r="G24" s="29"/>
    </row>
    <row r="25" spans="1:7" x14ac:dyDescent="0.35">
      <c r="A25" s="81"/>
      <c r="B25" s="29"/>
      <c r="C25" s="29"/>
      <c r="D25" s="29"/>
      <c r="E25" s="80"/>
      <c r="F25" s="80"/>
      <c r="G25" s="29"/>
    </row>
    <row r="26" spans="1:7" x14ac:dyDescent="0.35">
      <c r="A26" s="81"/>
      <c r="B26" s="29"/>
      <c r="C26" s="29"/>
      <c r="D26" s="29"/>
      <c r="E26" s="80"/>
      <c r="F26" s="80"/>
      <c r="G26" s="29"/>
    </row>
    <row r="27" spans="1:7" x14ac:dyDescent="0.35">
      <c r="A27" s="81"/>
      <c r="B27" s="29"/>
      <c r="C27" s="29"/>
      <c r="D27" s="29"/>
      <c r="E27" s="80"/>
      <c r="F27" s="80"/>
      <c r="G27" s="29"/>
    </row>
    <row r="28" spans="1:7" x14ac:dyDescent="0.35">
      <c r="A28" s="81"/>
      <c r="B28" s="29"/>
      <c r="C28" s="29"/>
      <c r="D28" s="29"/>
      <c r="E28" s="80"/>
      <c r="F28" s="80"/>
      <c r="G28" s="29"/>
    </row>
    <row r="29" spans="1:7" x14ac:dyDescent="0.35">
      <c r="A29" s="81"/>
      <c r="B29" s="29"/>
      <c r="C29" s="29"/>
      <c r="D29" s="29"/>
      <c r="E29" s="80"/>
      <c r="F29" s="80"/>
      <c r="G29" s="29"/>
    </row>
    <row r="30" spans="1:7" x14ac:dyDescent="0.35">
      <c r="A30" s="81"/>
      <c r="B30" s="29"/>
      <c r="C30" s="29"/>
      <c r="D30" s="29"/>
      <c r="E30" s="80"/>
      <c r="F30" s="80"/>
      <c r="G30" s="29"/>
    </row>
    <row r="31" spans="1:7" x14ac:dyDescent="0.35">
      <c r="A31" s="81"/>
      <c r="B31" s="29"/>
      <c r="C31" s="29"/>
      <c r="D31" s="29"/>
      <c r="E31" s="80"/>
      <c r="F31" s="80"/>
      <c r="G31" s="29"/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447bd66b-8ec9-49c3-9303-3d0dda12b054}" enabled="0" method="" siteId="{447bd66b-8ec9-49c3-9303-3d0dda12b054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20</vt:i4>
      </vt:variant>
    </vt:vector>
  </HeadingPairs>
  <TitlesOfParts>
    <vt:vector size="26" baseType="lpstr">
      <vt:lpstr>Trial Pricing Calculator</vt:lpstr>
      <vt:lpstr>Calculations</vt:lpstr>
      <vt:lpstr>Rates</vt:lpstr>
      <vt:lpstr>SRP</vt:lpstr>
      <vt:lpstr>Chcekclist test</vt:lpstr>
      <vt:lpstr>Data</vt:lpstr>
      <vt:lpstr>American_Zones</vt:lpstr>
      <vt:lpstr>Beer</vt:lpstr>
      <vt:lpstr>Blank</vt:lpstr>
      <vt:lpstr>Canada_Zones</vt:lpstr>
      <vt:lpstr>Certificate_of_Origin</vt:lpstr>
      <vt:lpstr>Container</vt:lpstr>
      <vt:lpstr>Currency</vt:lpstr>
      <vt:lpstr>Currency_Private</vt:lpstr>
      <vt:lpstr>Duties_MB_Dom</vt:lpstr>
      <vt:lpstr>Duties_MB_Intl</vt:lpstr>
      <vt:lpstr>Duties_Private</vt:lpstr>
      <vt:lpstr>International_Zones</vt:lpstr>
      <vt:lpstr>MBLL_Select</vt:lpstr>
      <vt:lpstr>Private_Category</vt:lpstr>
      <vt:lpstr>Private_Select</vt:lpstr>
      <vt:lpstr>Product_Category</vt:lpstr>
      <vt:lpstr>Ready_to_Drink</vt:lpstr>
      <vt:lpstr>Shipping</vt:lpstr>
      <vt:lpstr>Spirits</vt:lpstr>
      <vt:lpstr>Wine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Jocelyn Santiago</dc:creator>
  <cp:lastModifiedBy>Jocelyn Santiago</cp:lastModifiedBy>
  <dcterms:created xsi:type="dcterms:W3CDTF">2025-08-25T17:48:51Z</dcterms:created>
  <dcterms:modified xsi:type="dcterms:W3CDTF">2026-04-01T14:48:23Z</dcterms:modified>
</cp:coreProperties>
</file>