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3416" documentId="8_{F1064131-A236-47D2-9F2D-98F896A091A6}" xr6:coauthVersionLast="47" xr6:coauthVersionMax="47" xr10:uidLastSave="{9764395B-4E2A-45C6-BABF-DE64ACF3F7F6}"/>
  <workbookProtection workbookAlgorithmName="SHA-512" workbookHashValue="CYVR7W4ZaES5BOQbknQYiA0Gqri2HWf4c62TEKAilBlFekg5J6ZLMqyfsn8uPG0ecoYZiUcqEVjrG/K0VYjB8w==" workbookSaltValue="fikt7Hb4OwBbK1Y1wcYMFA==" workbookSpinCount="100000" lockStructure="1"/>
  <bookViews>
    <workbookView xWindow="22930" yWindow="-7430" windowWidth="30940" windowHeight="16780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Data!$M$4:$M$7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K21" i="1"/>
  <c r="K16" i="1"/>
  <c r="K22" i="1"/>
  <c r="K20" i="1"/>
  <c r="K15" i="1"/>
  <c r="L24" i="1"/>
  <c r="L25" i="1" s="1"/>
  <c r="D31" i="1"/>
  <c r="K25" i="1"/>
  <c r="Y5" i="4" l="1"/>
  <c r="D5" i="4" l="1"/>
  <c r="D17" i="1" l="1"/>
  <c r="E22" i="1"/>
  <c r="D24" i="1" l="1"/>
  <c r="D22" i="1"/>
  <c r="D26" i="1"/>
  <c r="D18" i="1" l="1"/>
  <c r="D19" i="1" s="1"/>
  <c r="AN5" i="4" l="1"/>
  <c r="P5" i="4"/>
  <c r="H5" i="4"/>
  <c r="A5" i="4"/>
  <c r="B5" i="4" s="1"/>
  <c r="K32" i="1"/>
  <c r="K24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O5" i="4"/>
  <c r="Z5" i="4" s="1"/>
  <c r="L5" i="4"/>
  <c r="J5" i="4"/>
  <c r="AE5" i="4" s="1"/>
  <c r="M5" i="4"/>
  <c r="N5" i="4"/>
  <c r="K5" i="4"/>
  <c r="AC5" i="4" l="1"/>
  <c r="T5" i="4"/>
  <c r="L16" i="1" s="1"/>
  <c r="AF5" i="4"/>
  <c r="L22" i="1" s="1"/>
  <c r="L21" i="1"/>
  <c r="U5" i="4"/>
  <c r="L23" i="1"/>
  <c r="K34" i="1"/>
  <c r="K18" i="1"/>
  <c r="K17" i="1"/>
  <c r="K14" i="1"/>
  <c r="L18" i="1" l="1"/>
  <c r="AM5" i="4" a="1"/>
  <c r="AM5" i="4" s="1"/>
  <c r="L36" i="1" s="1"/>
  <c r="AG5" i="4"/>
  <c r="V5" i="4"/>
  <c r="Q5" i="4"/>
  <c r="D27" i="1"/>
  <c r="D23" i="1"/>
  <c r="W5" i="4" l="1"/>
  <c r="L17" i="1"/>
  <c r="L32" i="1" l="1"/>
  <c r="L14" i="1" l="1"/>
  <c r="AH5" i="4" l="1"/>
  <c r="AA5" i="4" l="1"/>
  <c r="AL5" i="4" l="1"/>
  <c r="AP5" i="4" s="1"/>
  <c r="X5" i="4" l="1"/>
  <c r="AI5" i="4" s="1"/>
  <c r="AJ5" i="4" s="1"/>
  <c r="AB5" i="4"/>
  <c r="AD5" i="4"/>
  <c r="AO5" i="4" s="1"/>
  <c r="F5" i="4" s="1"/>
  <c r="L34" i="1"/>
  <c r="L15" i="1"/>
  <c r="AK5" i="4"/>
  <c r="G5" i="4" s="1"/>
  <c r="E34" i="1" s="1"/>
  <c r="E36" i="1" s="1"/>
  <c r="L20" i="1"/>
  <c r="E5" i="4" l="1"/>
  <c r="I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<sst xmlns="http://schemas.openxmlformats.org/spreadsheetml/2006/main" count="587" uniqueCount="277">
  <si>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</si>
  <si>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</si>
  <si>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</si>
  <si>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</si>
  <si>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</si>
  <si>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</si>
  <si>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</si>
  <si>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</si>
  <si>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</si>
  <si>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</si>
  <si>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</si>
  <si>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</si>
  <si>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</si>
  <si>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</si>
  <si>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</si>
  <si>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</si>
  <si>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</si>
  <si>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</si>
  <si>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</si>
  <si>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</si>
  <si>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</si>
  <si>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</si>
  <si>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</si>
  <si>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</si>
  <si>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</si>
  <si>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</si>
  <si>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</si>
  <si>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</si>
  <si>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</si>
  <si>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</si>
  <si>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</si>
  <si>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</si>
  <si>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</si>
  <si>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</si>
  <si>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</si>
  <si>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</si>
  <si>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</si>
  <si>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</si>
  <si>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</si>
  <si>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</si>
  <si>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</si>
  <si>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</si>
  <si>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</si>
  <si>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</si>
  <si>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</si>
  <si>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</si>
  <si>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</si>
  <si>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</si>
  <si>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</si>
  <si>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</si>
  <si>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</si>
  <si>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</si>
  <si>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</si>
  <si>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</si>
  <si>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</si>
  <si>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</si>
  <si>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</si>
  <si>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</si>
  <si>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</si>
  <si>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</si>
  <si>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</si>
  <si>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</si>
  <si>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</si>
  <si>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</si>
  <si>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</si>
  <si>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</si>
  <si>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</si>
  <si>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</si>
  <si>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</si>
  <si>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</si>
  <si>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</si>
  <si>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</si>
  <si>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</si>
  <si>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</si>
  <si>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</si>
  <si>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</si>
  <si>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</si>
  <si>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</si>
  <si>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</si>
  <si>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</si>
  <si>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</si>
  <si>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</si>
  <si>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</si>
  <si>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</si>
  <si>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</si>
  <si>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</si>
  <si>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</si>
  <si>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</si>
  <si>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</si>
  <si>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</si>
  <si>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</si>
  <si>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</si>
  <si>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</si>
  <si>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</si>
  <si>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</si>
  <si>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</si>
  <si>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</si>
  <si>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</si>
  <si>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</si>
  <si>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</si>
  <si>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</si>
  <si>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</si>
  <si>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</si>
  <si>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</si>
  <si>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</si>
  <si>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</si>
  <si>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</si>
  <si>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</si>
  <si>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</si>
  <si>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</si>
  <si>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</si>
  <si>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</si>
  <si>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</si>
  <si>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</si>
  <si>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</si>
  <si>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</si>
  <si>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</si>
  <si>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</si>
  <si>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</si>
  <si>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</si>
  <si>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</si>
  <si>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</si>
  <si>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>Social Reference Pricing (SRP)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</si>
  <si>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</si>
  <si>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</si>
  <si>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</si>
  <si>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</si>
  <si>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</si>
  <si>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</si>
  <si>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</si>
  <si>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</si>
  <si>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</si>
  <si>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</si>
  <si>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</si>
  <si>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</si>
  <si>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</si>
  <si>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</si>
  <si>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</si>
  <si>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</si>
  <si>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</si>
  <si>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</si>
  <si>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</si>
  <si>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</si>
  <si>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</si>
  <si>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</si>
  <si>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</si>
  <si>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</si>
  <si>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</si>
  <si>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</si>
  <si>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</si>
  <si>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</si>
  <si>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</si>
  <si>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</si>
  <si>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</si>
  <si>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</si>
  <si>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</si>
  <si>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</si>
  <si>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</si>
  <si>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</si>
  <si>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</si>
  <si>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</si>
  <si>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</si>
  <si>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</si>
  <si>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</si>
  <si>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</si>
  <si>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</si>
  <si>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</si>
  <si>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</si>
  <si>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</si>
  <si>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</si>
  <si>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</si>
  <si>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</si>
  <si>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</si>
  <si>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</si>
  <si>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</si>
  <si>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</si>
  <si>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</si>
  <si>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</si>
  <si>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</si>
  <si>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</si>
  <si>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</si>
  <si>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</si>
  <si>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</si>
  <si>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</si>
  <si>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</si>
  <si>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</si>
  <si>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</si>
  <si>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</si>
  <si>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</si>
  <si>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</si>
  <si>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</si>
  <si>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</si>
  <si>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</si>
  <si>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</si>
  <si>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</si>
  <si>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</si>
  <si>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</si>
  <si>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</si>
  <si>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</si>
  <si>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</si>
  <si>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</si>
  <si>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</si>
  <si>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</si>
  <si>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</si>
  <si>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</si>
  <si>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</si>
  <si>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Beer Empties Handling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</si>
  <si>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</si>
  <si>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</si>
  <si>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</si>
  <si>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</si>
  <si>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</si>
  <si>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</si>
  <si>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</si>
  <si>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</si>
  <si>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</si>
  <si>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Extra 2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</si>
  <si>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</si>
  <si>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</si>
  <si>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</si>
  <si>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</si>
  <si>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</si>
  <si>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</si>
  <si>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</si>
  <si>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</si>
  <si>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</si>
  <si>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</si>
  <si>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</si>
  <si>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</si>
  <si>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</si>
  <si>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</si>
  <si>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</si>
  <si>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</si>
  <si>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</si>
  <si>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</si>
  <si>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</si>
  <si>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</si>
  <si>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</si>
  <si>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</si>
  <si>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</si>
  <si>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</si>
  <si>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</si>
  <si>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</si>
  <si>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</si>
  <si>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</si>
  <si>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</si>
  <si>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</si>
  <si>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</si>
  <si>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</si>
  <si>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</si>
  <si>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</si>
  <si>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</si>
  <si>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Liquor Agents &amp; Suppliers | Doing Business with Us</t>
  </si>
  <si>
    <t>Click:</t>
  </si>
  <si>
    <t>Private_Select</t>
  </si>
  <si>
    <t>MBLL_Select</t>
  </si>
  <si>
    <t>Rates effective:</t>
  </si>
  <si>
    <t>Cost of Service - Admin Micro</t>
  </si>
  <si>
    <t>Qualified Licensee/Vendor Retail                   (before taxes and deposit)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</si>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</sst>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5" tint="-0.249977111117893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</fonts>
  <fills count="46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20">
    <xf numFmtId="0" fontId="0" fillId="0" borderId="0" xfId="0"/>
    <xf numFmtId="0" fontId="5" fillId="4" borderId="4" xfId="3" applyFont="1" applyFill="1" applyBorder="1"/>
    <xf numFmtId="164" fontId="5" fillId="5" borderId="5" xfId="0" applyNumberFormat="1" applyFont="1" applyFill="1" applyBorder="1"/>
    <xf numFmtId="0" fontId="5" fillId="4" borderId="7" xfId="3" applyFont="1" applyFill="1" applyBorder="1"/>
    <xf numFmtId="164" fontId="5" fillId="5" borderId="8" xfId="0" applyNumberFormat="1" applyFont="1" applyFill="1" applyBorder="1"/>
    <xf numFmtId="0" fontId="5" fillId="4" borderId="10" xfId="3" applyFont="1" applyFill="1" applyBorder="1"/>
    <xf numFmtId="16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2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3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4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5" fillId="0" borderId="22" xfId="0" applyNumberFormat="1" applyFont="1" applyBorder="1" applyAlignment="1">
      <alignment horizontal="center"/>
    </xf>
    <xf numFmtId="2" fontId="45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41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5" borderId="14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mbllpartners.ca/liquor-partners/liquor-agents-suppli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="90" zoomScaleNormal="9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74" t="s">
        <v>119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98"/>
      <c r="AA2" s="98"/>
    </row>
    <row r="3" spans="1:27" ht="29.5" x14ac:dyDescent="0.35">
      <c r="A3" s="98"/>
      <c r="B3" s="275" t="s">
        <v>8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98"/>
      <c r="AA3" s="98"/>
    </row>
    <row r="4" spans="1:27" ht="26" x14ac:dyDescent="0.6">
      <c r="A4" s="98"/>
      <c r="B4" s="276" t="s">
        <v>9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98"/>
      <c r="AA4" s="98"/>
    </row>
    <row r="5" spans="1:27" ht="12" customHeight="1" thickBot="1" x14ac:dyDescent="0.65">
      <c r="A5" s="98"/>
      <c r="B5" s="186"/>
      <c r="C5" s="234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98"/>
      <c r="AA5" s="98"/>
    </row>
    <row r="6" spans="1:27" ht="15" thickBot="1" x14ac:dyDescent="0.4">
      <c r="A6" s="98"/>
      <c r="B6" s="235"/>
      <c r="C6" s="236"/>
      <c r="D6" s="236"/>
      <c r="E6" s="236"/>
      <c r="F6" s="236"/>
      <c r="G6" s="237"/>
      <c r="H6" s="186"/>
      <c r="I6" s="235"/>
      <c r="J6" s="236"/>
      <c r="K6" s="236"/>
      <c r="L6" s="236"/>
      <c r="M6" s="236"/>
      <c r="N6" s="237"/>
      <c r="O6" s="98"/>
      <c r="AA6" s="98"/>
    </row>
    <row r="7" spans="1:27" ht="15" thickBot="1" x14ac:dyDescent="0.4">
      <c r="A7" s="98"/>
      <c r="B7" s="187"/>
      <c r="C7" s="238"/>
      <c r="D7" s="239"/>
      <c r="E7" s="239"/>
      <c r="F7" s="240"/>
      <c r="G7" s="185"/>
      <c r="H7" s="186"/>
      <c r="I7" s="187"/>
      <c r="J7" s="241"/>
      <c r="K7" s="242"/>
      <c r="L7" s="242"/>
      <c r="M7" s="243"/>
      <c r="N7" s="185"/>
      <c r="O7" s="98"/>
      <c r="AA7" s="98"/>
    </row>
    <row r="8" spans="1:27" ht="18.5" x14ac:dyDescent="0.45">
      <c r="A8" s="98"/>
      <c r="B8" s="187"/>
      <c r="C8" s="244"/>
      <c r="D8" s="277" t="s">
        <v>149</v>
      </c>
      <c r="E8" s="278"/>
      <c r="F8" s="245"/>
      <c r="G8" s="185"/>
      <c r="H8" s="186"/>
      <c r="I8" s="187"/>
      <c r="J8" s="246"/>
      <c r="K8" s="279" t="s">
        <v>150</v>
      </c>
      <c r="L8" s="280"/>
      <c r="M8" s="247"/>
      <c r="N8" s="185"/>
      <c r="O8" s="98"/>
      <c r="AA8" s="98"/>
    </row>
    <row r="9" spans="1:27" ht="25.5" customHeight="1" thickBot="1" x14ac:dyDescent="0.5">
      <c r="A9" s="98"/>
      <c r="B9" s="99"/>
      <c r="C9" s="93"/>
      <c r="D9" s="288"/>
      <c r="E9" s="289"/>
      <c r="F9" s="94"/>
      <c r="G9" s="101"/>
      <c r="H9" s="98"/>
      <c r="I9" s="99"/>
      <c r="J9" s="88"/>
      <c r="K9" s="175"/>
      <c r="L9" s="176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85" t="s">
        <v>120</v>
      </c>
      <c r="D12" s="286"/>
      <c r="E12" s="286"/>
      <c r="F12" s="287"/>
      <c r="G12" s="101"/>
      <c r="H12" s="98"/>
      <c r="I12" s="99"/>
      <c r="J12" s="290" t="s">
        <v>121</v>
      </c>
      <c r="K12" s="291"/>
      <c r="L12" s="291"/>
      <c r="M12" s="292"/>
      <c r="N12" s="101"/>
      <c r="O12" s="98"/>
      <c r="AA12" s="98"/>
    </row>
    <row r="13" spans="1:27" x14ac:dyDescent="0.35">
      <c r="A13" s="98"/>
      <c r="B13" s="99"/>
      <c r="C13" s="105"/>
      <c r="D13" s="174"/>
      <c r="E13" s="106"/>
      <c r="F13" s="107"/>
      <c r="G13" s="101"/>
      <c r="H13" s="98"/>
      <c r="I13" s="99"/>
      <c r="J13" s="177"/>
      <c r="K13" s="164"/>
      <c r="L13" s="164"/>
      <c r="M13" s="178"/>
      <c r="N13" s="185"/>
      <c r="O13" s="186"/>
      <c r="AA13" s="98"/>
    </row>
    <row r="14" spans="1:27" x14ac:dyDescent="0.35">
      <c r="A14" s="98"/>
      <c r="B14" s="99"/>
      <c r="C14" s="105"/>
      <c r="D14" s="171" t="s">
        <v>0</v>
      </c>
      <c r="E14" s="170"/>
      <c r="F14" s="107"/>
      <c r="G14" s="101"/>
      <c r="H14" s="98"/>
      <c r="I14" s="99"/>
      <c r="J14" s="177"/>
      <c r="K14" s="179" t="str">
        <f>IF(D9="","",IF(E29="","",IF(D9="PRIVATE DISTRIBUTION","",IF(AND(D9="MBLL DISTRIBUTION",E29="CAD"),"","Base Unit Price - "&amp;E29))))</f>
        <v/>
      </c>
      <c r="L14" s="180" t="str">
        <f>IFERROR(ROUND(IF(D9="","",IF(OR(E29="",E29="CAD"),"",Calculations!F5)),4),"")</f>
        <v/>
      </c>
      <c r="M14" s="178"/>
      <c r="N14" s="185"/>
      <c r="O14" s="186"/>
      <c r="AA14" s="98"/>
    </row>
    <row r="15" spans="1:27" x14ac:dyDescent="0.35">
      <c r="A15" s="98"/>
      <c r="B15" s="99"/>
      <c r="C15" s="105"/>
      <c r="D15" s="172" t="s">
        <v>1</v>
      </c>
      <c r="E15" s="170"/>
      <c r="F15" s="107"/>
      <c r="G15" s="101"/>
      <c r="H15" s="98"/>
      <c r="I15" s="99"/>
      <c r="J15" s="177"/>
      <c r="K15" s="179" t="str">
        <f>IF(D9="","","Base Unit Price - CAD")</f>
        <v/>
      </c>
      <c r="L15" s="180" t="str">
        <f>IFERROR(IF(E14="","",SUM(Calculations!F5*Calculations!H5,0)),"")</f>
        <v/>
      </c>
      <c r="M15" s="178"/>
      <c r="N15" s="185"/>
      <c r="O15" s="186"/>
      <c r="AA15" s="98"/>
    </row>
    <row r="16" spans="1:27" x14ac:dyDescent="0.35">
      <c r="A16" s="98"/>
      <c r="B16" s="99"/>
      <c r="C16" s="105"/>
      <c r="D16" s="171" t="s">
        <v>2</v>
      </c>
      <c r="E16" s="170"/>
      <c r="F16" s="107"/>
      <c r="G16" s="101"/>
      <c r="H16" s="98"/>
      <c r="I16" s="99"/>
      <c r="J16" s="177"/>
      <c r="K16" s="179" t="str">
        <f>IF(D9="MBLL DISTRIBUTION","Standard Freight rate/litre","")</f>
        <v/>
      </c>
      <c r="L16" s="181" t="str">
        <f>IFERROR(IF(D9="PRIVATE Distribution","",Calculations!T5),"")</f>
        <v/>
      </c>
      <c r="M16" s="178"/>
      <c r="N16" s="185"/>
      <c r="O16" s="186"/>
      <c r="AA16" s="98"/>
    </row>
    <row r="17" spans="1:27" x14ac:dyDescent="0.35">
      <c r="A17" s="98"/>
      <c r="B17" s="99"/>
      <c r="C17" s="105"/>
      <c r="D17" s="171" t="str">
        <f>IF(OR(D9="",D9="PRIVATE Distribution"),"","Certificate of Origin")</f>
        <v/>
      </c>
      <c r="E17" s="169"/>
      <c r="F17" s="107"/>
      <c r="G17" s="101"/>
      <c r="H17" s="98"/>
      <c r="I17" s="99"/>
      <c r="J17" s="177"/>
      <c r="K17" s="179" t="str">
        <f>IF(D9="MBLL DISTRIBUTION","Excise Duty","")</f>
        <v/>
      </c>
      <c r="L17" s="180" t="str">
        <f>IF(D9="PRIVATE Distribution","",Calculations!V5)</f>
        <v/>
      </c>
      <c r="M17" s="178"/>
      <c r="N17" s="185"/>
      <c r="O17" s="186"/>
      <c r="AA17" s="98"/>
    </row>
    <row r="18" spans="1:27" x14ac:dyDescent="0.35">
      <c r="A18" s="98"/>
      <c r="B18" s="99"/>
      <c r="C18" s="105"/>
      <c r="D18" s="171" t="str">
        <f>IF(D9="MBLL Distribution","Is this a Gift Pack?","")</f>
        <v/>
      </c>
      <c r="E18" s="169"/>
      <c r="F18" s="107"/>
      <c r="G18" s="101"/>
      <c r="H18" s="98"/>
      <c r="I18" s="99"/>
      <c r="J18" s="177"/>
      <c r="K18" s="179" t="str">
        <f>IF(AND(D9="MBLL DISTRIBUTION",E28="Customs"),"Customs Duty","")</f>
        <v/>
      </c>
      <c r="L18" s="180" t="str">
        <f>IF(OR(E26="",E26="Canada"),"",Calculations!U5)</f>
        <v/>
      </c>
      <c r="M18" s="178"/>
      <c r="N18" s="185"/>
      <c r="O18" s="186"/>
      <c r="AA18" s="98"/>
    </row>
    <row r="19" spans="1:27" x14ac:dyDescent="0.35">
      <c r="A19" s="98"/>
      <c r="B19" s="99"/>
      <c r="C19" s="105"/>
      <c r="D19" s="221" t="str">
        <f>IF(D18="","","**(Yes only if products have gift components)**")</f>
        <v/>
      </c>
      <c r="E19" s="225"/>
      <c r="F19" s="107"/>
      <c r="G19" s="101"/>
      <c r="H19" s="98"/>
      <c r="I19" s="99"/>
      <c r="J19" s="177"/>
      <c r="K19" s="179"/>
      <c r="L19" s="180"/>
      <c r="M19" s="178"/>
      <c r="N19" s="185"/>
      <c r="O19" s="186"/>
      <c r="AA19" s="98"/>
    </row>
    <row r="20" spans="1:27" x14ac:dyDescent="0.35">
      <c r="A20" s="98"/>
      <c r="B20" s="99"/>
      <c r="C20" s="105"/>
      <c r="D20" s="171" t="s">
        <v>3</v>
      </c>
      <c r="E20" s="167"/>
      <c r="F20" s="107"/>
      <c r="G20" s="101"/>
      <c r="H20" s="98"/>
      <c r="I20" s="99"/>
      <c r="J20" s="177"/>
      <c r="K20" s="179" t="str">
        <f>IF(D9="","","Markup")</f>
        <v/>
      </c>
      <c r="L20" s="180" t="str">
        <f>IFERROR(IF(E14="","",Calculations!AD5),"")</f>
        <v/>
      </c>
      <c r="M20" s="178"/>
      <c r="N20" s="185"/>
      <c r="O20" s="186"/>
      <c r="AA20" s="98"/>
    </row>
    <row r="21" spans="1:27" x14ac:dyDescent="0.35">
      <c r="A21" s="98"/>
      <c r="B21" s="99"/>
      <c r="C21" s="105"/>
      <c r="D21" s="171" t="s">
        <v>4</v>
      </c>
      <c r="E21" s="168"/>
      <c r="F21" s="107"/>
      <c r="G21" s="101"/>
      <c r="H21" s="98"/>
      <c r="I21" s="99"/>
      <c r="J21" s="177"/>
      <c r="K21" s="179" t="str">
        <f>IF(D9="","","Cost of Service - System Admin Fee")</f>
        <v/>
      </c>
      <c r="L21" s="180" t="str">
        <f>IFERROR(IF(E14="","",Calculations!AE5),"")</f>
        <v/>
      </c>
      <c r="M21" s="178"/>
      <c r="N21" s="185"/>
      <c r="O21" s="186"/>
      <c r="AA21" s="98"/>
    </row>
    <row r="22" spans="1:27" x14ac:dyDescent="0.35">
      <c r="A22" s="98"/>
      <c r="B22" s="99"/>
      <c r="C22" s="105"/>
      <c r="D22" s="173" t="str">
        <f>IF(E21&gt;1,"Total selling volume/liter","")</f>
        <v/>
      </c>
      <c r="E22" s="222" t="str">
        <f>IF(E21&gt;1,E20*E21,"")</f>
        <v/>
      </c>
      <c r="F22" s="107"/>
      <c r="G22" s="101"/>
      <c r="H22" s="98"/>
      <c r="I22" s="99"/>
      <c r="J22" s="177"/>
      <c r="K22" s="179" t="str">
        <f>IF(D9="MBLL DISTRIBUTION","Cost of Service - Warehouse Fee","")</f>
        <v/>
      </c>
      <c r="L22" s="180" t="str">
        <f>IFERROR(IF(D9="MBLL Distribution",Calculations!AF5,""),"")</f>
        <v/>
      </c>
      <c r="M22" s="178"/>
      <c r="N22" s="185"/>
      <c r="O22" s="186"/>
      <c r="AA22" s="98"/>
    </row>
    <row r="23" spans="1:27" x14ac:dyDescent="0.35">
      <c r="A23" s="98"/>
      <c r="B23" s="99"/>
      <c r="C23" s="105"/>
      <c r="D23" s="171" t="str">
        <f>IF(D9="MBLL Distribution","Selling Units per Case (Case Size)","")</f>
        <v/>
      </c>
      <c r="E23" s="226"/>
      <c r="F23" s="107"/>
      <c r="G23" s="101"/>
      <c r="H23" s="98"/>
      <c r="I23" s="99"/>
      <c r="J23" s="177"/>
      <c r="K23" s="179" t="str">
        <f>IF(E14="Beer","Empties Handling Fee","")</f>
        <v/>
      </c>
      <c r="L23" s="180" t="str">
        <f>IF(E14="Beer",Calculations!Z5,"")</f>
        <v/>
      </c>
      <c r="M23" s="178"/>
      <c r="N23" s="185"/>
      <c r="O23" s="186"/>
      <c r="AA23" s="98"/>
    </row>
    <row r="24" spans="1:27" x14ac:dyDescent="0.35">
      <c r="A24" s="98"/>
      <c r="B24" s="99"/>
      <c r="C24" s="105"/>
      <c r="D24" s="223" t="str">
        <f>IF(E14="Beer","Container Type","")</f>
        <v/>
      </c>
      <c r="E24" s="226"/>
      <c r="F24" s="107"/>
      <c r="G24" s="101"/>
      <c r="H24" s="98"/>
      <c r="I24" s="99"/>
      <c r="J24" s="177"/>
      <c r="K24" s="179" t="str">
        <f>IF(E18="YES","Add-on Cost per unit","")</f>
        <v/>
      </c>
      <c r="L24" s="180" t="str">
        <f>IF(E31="","",IF(E18="YES",ROUND(E31,4),""))</f>
        <v/>
      </c>
      <c r="M24" s="178"/>
      <c r="N24" s="185"/>
      <c r="O24" s="186"/>
      <c r="AA24" s="98"/>
    </row>
    <row r="25" spans="1:27" x14ac:dyDescent="0.35">
      <c r="A25" s="98"/>
      <c r="B25" s="99"/>
      <c r="C25" s="105"/>
      <c r="D25" s="171" t="s">
        <v>5</v>
      </c>
      <c r="E25" s="227"/>
      <c r="F25" s="107"/>
      <c r="G25" s="101"/>
      <c r="H25" s="98"/>
      <c r="I25" s="99"/>
      <c r="J25" s="177"/>
      <c r="K25" s="179" t="str">
        <f>IF(E18="YES","Total Add-on Cost per Case","")</f>
        <v/>
      </c>
      <c r="L25" s="180" t="str">
        <f>IF(E31="","",IF(E18="YES",ROUND(SUM(L24*E23),4),""))</f>
        <v/>
      </c>
      <c r="M25" s="178"/>
      <c r="N25" s="185"/>
      <c r="O25" s="186"/>
      <c r="AA25" s="98"/>
    </row>
    <row r="26" spans="1:27" x14ac:dyDescent="0.35">
      <c r="A26" s="98"/>
      <c r="B26" s="99"/>
      <c r="C26" s="105"/>
      <c r="D26" s="171" t="str">
        <f>IF(D9="MBLL Distribution","Product Shipping Location","")</f>
        <v/>
      </c>
      <c r="E26" s="226"/>
      <c r="F26" s="107"/>
      <c r="G26" s="101"/>
      <c r="H26" s="98"/>
      <c r="I26" s="99"/>
      <c r="J26" s="177"/>
      <c r="K26" s="179"/>
      <c r="L26" s="164"/>
      <c r="M26" s="178"/>
      <c r="N26" s="185"/>
      <c r="O26" s="186"/>
      <c r="AA26" s="98"/>
    </row>
    <row r="27" spans="1:27" x14ac:dyDescent="0.35">
      <c r="A27" s="98"/>
      <c r="B27" s="99"/>
      <c r="C27" s="105"/>
      <c r="D27" s="173" t="str">
        <f>IF(D9="MBLL Distribution","Freight Zone","")</f>
        <v/>
      </c>
      <c r="E27" s="226"/>
      <c r="F27" s="107"/>
      <c r="G27" s="101"/>
      <c r="H27" s="98"/>
      <c r="I27" s="99"/>
      <c r="J27" s="177"/>
      <c r="K27" s="179"/>
      <c r="L27" s="164"/>
      <c r="M27" s="178"/>
      <c r="N27" s="185"/>
      <c r="O27" s="186"/>
      <c r="AA27" s="98"/>
    </row>
    <row r="28" spans="1:27" x14ac:dyDescent="0.35">
      <c r="A28" s="98"/>
      <c r="B28" s="99"/>
      <c r="C28" s="105"/>
      <c r="D28" s="171" t="s">
        <v>6</v>
      </c>
      <c r="E28" s="228"/>
      <c r="F28" s="107"/>
      <c r="G28" s="101"/>
      <c r="H28" s="98"/>
      <c r="I28" s="99"/>
      <c r="J28" s="177"/>
      <c r="K28" s="179"/>
      <c r="L28" s="164"/>
      <c r="M28" s="178"/>
      <c r="N28" s="185"/>
      <c r="O28" s="186"/>
      <c r="AA28" s="98"/>
    </row>
    <row r="29" spans="1:27" x14ac:dyDescent="0.35">
      <c r="A29" s="98"/>
      <c r="B29" s="99"/>
      <c r="C29" s="105"/>
      <c r="D29" s="171" t="s">
        <v>7</v>
      </c>
      <c r="E29" s="228"/>
      <c r="F29" s="107"/>
      <c r="G29" s="101"/>
      <c r="H29" s="98"/>
      <c r="I29" s="99"/>
      <c r="J29" s="177"/>
      <c r="K29" s="262"/>
      <c r="L29" s="262"/>
      <c r="M29" s="178"/>
      <c r="N29" s="185"/>
      <c r="O29" s="186"/>
      <c r="AA29" s="98"/>
    </row>
    <row r="30" spans="1:27" x14ac:dyDescent="0.35">
      <c r="A30" s="98"/>
      <c r="B30" s="99"/>
      <c r="C30" s="105"/>
      <c r="D30" s="174"/>
      <c r="E30" s="109"/>
      <c r="F30" s="107"/>
      <c r="G30" s="101"/>
      <c r="H30" s="98"/>
      <c r="I30" s="99"/>
      <c r="J30" s="282"/>
      <c r="K30" s="283"/>
      <c r="L30" s="283"/>
      <c r="M30" s="284"/>
      <c r="N30" s="185"/>
      <c r="O30" s="186"/>
      <c r="AA30" s="98"/>
    </row>
    <row r="31" spans="1:27" ht="16" x14ac:dyDescent="0.4">
      <c r="A31" s="98"/>
      <c r="B31" s="99"/>
      <c r="C31" s="105"/>
      <c r="D31" s="258" t="str">
        <f>IF(E18="YES","Total Add-on Cost per UNIT","")</f>
        <v/>
      </c>
      <c r="E31" s="264"/>
      <c r="F31" s="107"/>
      <c r="G31" s="101"/>
      <c r="H31" s="98"/>
      <c r="I31" s="99"/>
      <c r="J31" s="182"/>
      <c r="K31" s="183"/>
      <c r="L31" s="183"/>
      <c r="M31" s="184"/>
      <c r="N31" s="185"/>
      <c r="O31" s="186"/>
      <c r="AA31" s="98"/>
    </row>
    <row r="32" spans="1:27" x14ac:dyDescent="0.35">
      <c r="A32" s="98"/>
      <c r="B32" s="99"/>
      <c r="C32" s="110"/>
      <c r="D32" s="224"/>
      <c r="E32" s="111"/>
      <c r="F32" s="108"/>
      <c r="G32" s="101"/>
      <c r="H32" s="98"/>
      <c r="I32" s="99"/>
      <c r="J32" s="182"/>
      <c r="K32" s="198" t="str">
        <f>IF(E18="YES","Case Cost (Before Add-on Cost)","")</f>
        <v/>
      </c>
      <c r="L32" s="219" t="str">
        <f>IF(E18="YES",Calculations!E5,"")</f>
        <v/>
      </c>
      <c r="M32" s="184"/>
      <c r="N32" s="185"/>
      <c r="O32" s="186"/>
      <c r="AA32" s="98"/>
    </row>
    <row r="33" spans="1:27" ht="15" thickBot="1" x14ac:dyDescent="0.4">
      <c r="A33" s="98"/>
      <c r="B33" s="99"/>
      <c r="C33" s="182"/>
      <c r="D33" s="183"/>
      <c r="E33" s="183"/>
      <c r="F33" s="184"/>
      <c r="G33" s="185"/>
      <c r="H33" s="186"/>
      <c r="I33" s="187"/>
      <c r="J33" s="182"/>
      <c r="K33" s="183"/>
      <c r="L33" s="183"/>
      <c r="M33" s="184"/>
      <c r="N33" s="185"/>
      <c r="O33" s="186"/>
      <c r="AA33" s="98"/>
    </row>
    <row r="34" spans="1:27" ht="35" customHeight="1" thickBot="1" x14ac:dyDescent="0.4">
      <c r="A34" s="98"/>
      <c r="B34" s="99"/>
      <c r="C34" s="182"/>
      <c r="D34" s="188" t="s">
        <v>244</v>
      </c>
      <c r="E34" s="189">
        <f>IFERROR(IF(D9="",0,Calculations!G5),"")</f>
        <v>0</v>
      </c>
      <c r="F34" s="184"/>
      <c r="G34" s="185"/>
      <c r="H34" s="186"/>
      <c r="I34" s="187"/>
      <c r="J34" s="182"/>
      <c r="K34" s="190" t="str">
        <f>IF(D9="","",IF(AND(D9="MBLL Distribution",E18="Yes"),"Final Case Cost",IF(AND(D9="MBLL DISTRIBUTION",OR(E18="No",E18="")),"Case Cost",IF(D9="PRIVATE Distribution","Gross Price to Brewer",""))))</f>
        <v/>
      </c>
      <c r="L34" s="191" t="str">
        <f>IF(E14="","",IF(AND(D9="MBLL Distribution",E18="Yes"),Calculations!AP5,IF(AND(D9="MBLL Distribution",E18="No"),Calculations!E5,IF(D9="Private Distribution",Calculations!F5,0))))</f>
        <v/>
      </c>
      <c r="M34" s="184"/>
      <c r="N34" s="185"/>
      <c r="O34" s="186"/>
      <c r="AA34" s="98"/>
    </row>
    <row r="35" spans="1:27" ht="15" thickBot="1" x14ac:dyDescent="0.4">
      <c r="A35" s="98"/>
      <c r="B35" s="99"/>
      <c r="C35" s="182"/>
      <c r="D35" s="183"/>
      <c r="E35" s="183"/>
      <c r="F35" s="184"/>
      <c r="G35" s="185"/>
      <c r="H35" s="186"/>
      <c r="I35" s="187"/>
      <c r="J35" s="182"/>
      <c r="K35" s="183"/>
      <c r="L35" s="183"/>
      <c r="M35" s="184"/>
      <c r="N35" s="185"/>
      <c r="O35" s="186"/>
      <c r="AA35" s="98"/>
    </row>
    <row r="36" spans="1:27" ht="35" customHeight="1" thickBot="1" x14ac:dyDescent="0.4">
      <c r="A36" s="98"/>
      <c r="B36" s="99"/>
      <c r="C36" s="182"/>
      <c r="D36" s="263" t="s">
        <v>258</v>
      </c>
      <c r="E36" s="261">
        <f>IF(E34="","",SUM(E34-(E34*13.75%)))</f>
        <v>0</v>
      </c>
      <c r="F36" s="184"/>
      <c r="G36" s="185"/>
      <c r="H36" s="186"/>
      <c r="I36" s="187"/>
      <c r="J36" s="182"/>
      <c r="K36" s="259" t="s">
        <v>122</v>
      </c>
      <c r="L36" s="260" t="str">
        <f>IF(L9="","",Calculations!AM5)</f>
        <v/>
      </c>
      <c r="M36" s="184"/>
      <c r="N36" s="185"/>
      <c r="O36" s="186"/>
      <c r="AA36" s="98"/>
    </row>
    <row r="37" spans="1:27" ht="15" customHeight="1" thickBot="1" x14ac:dyDescent="0.4">
      <c r="A37" s="98"/>
      <c r="B37" s="99"/>
      <c r="C37" s="192"/>
      <c r="D37" s="193"/>
      <c r="E37" s="193"/>
      <c r="F37" s="194"/>
      <c r="G37" s="185"/>
      <c r="H37" s="186"/>
      <c r="I37" s="187"/>
      <c r="J37" s="192"/>
      <c r="K37" s="193"/>
      <c r="L37" s="193"/>
      <c r="M37" s="194"/>
      <c r="N37" s="185"/>
      <c r="O37" s="186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9"/>
      <c r="K38" s="229"/>
      <c r="L38" s="229"/>
      <c r="M38" s="229"/>
      <c r="N38" s="230"/>
      <c r="O38" s="186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6"/>
      <c r="K39" s="186"/>
      <c r="L39" s="186"/>
      <c r="M39" s="186"/>
      <c r="N39" s="186"/>
      <c r="O39" s="186"/>
      <c r="AA39" s="98"/>
    </row>
    <row r="40" spans="1:27" x14ac:dyDescent="0.35">
      <c r="A40" s="220"/>
      <c r="B40" s="231"/>
      <c r="C40" s="231"/>
      <c r="D40" s="231"/>
      <c r="E40" s="232" t="s">
        <v>251</v>
      </c>
      <c r="F40" s="231"/>
      <c r="G40" s="231" t="s">
        <v>253</v>
      </c>
      <c r="H40" s="231"/>
      <c r="I40" s="231"/>
      <c r="J40" s="231"/>
      <c r="K40" s="281" t="s">
        <v>252</v>
      </c>
      <c r="L40" s="281"/>
      <c r="M40" s="231"/>
      <c r="N40" s="231"/>
      <c r="O40" s="233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7MhSrxYdgjEzKiOa2TsjEFckaekHDgd9mNmrb3ZTC8Llpqg0bDvxQz6zNDuVOS8f/LjeWkuCu9yiZZK4FeiVmA==" saltValue="GHaZ6wdtkaw9Ix9W/FcLOA==" spinCount="100000" sheet="1" objects="1" scenarios="1" selectLockedCells="1"/>
  <mergeCells count="10">
    <mergeCell ref="K40:L40"/>
    <mergeCell ref="J30:M30"/>
    <mergeCell ref="C12:F12"/>
    <mergeCell ref="D9:E9"/>
    <mergeCell ref="J12:M12"/>
    <mergeCell ref="B2:N2"/>
    <mergeCell ref="B3:N3"/>
    <mergeCell ref="B4:N4"/>
    <mergeCell ref="D8:E8"/>
    <mergeCell ref="K8:L8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IF(E14="Beer",Container,Blank)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liquor-partners/liquor-agents-suppliers" xr:uid="{B7DCA446-24E6-4E7A-8EAF-431572C0DB4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topLeftCell="E1" workbookViewId="0">
      <selection activeCell="U5" sqref="U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9" customFormat="1" ht="58" x14ac:dyDescent="0.35">
      <c r="A4" s="202" t="s">
        <v>189</v>
      </c>
      <c r="B4" s="202" t="s">
        <v>180</v>
      </c>
      <c r="C4" s="201" t="s">
        <v>181</v>
      </c>
      <c r="D4" s="201" t="s">
        <v>249</v>
      </c>
      <c r="E4" s="201" t="s">
        <v>182</v>
      </c>
      <c r="F4" s="201" t="s">
        <v>183</v>
      </c>
      <c r="G4" s="201" t="s">
        <v>184</v>
      </c>
      <c r="H4" s="201" t="s">
        <v>225</v>
      </c>
      <c r="I4" s="201" t="s">
        <v>191</v>
      </c>
      <c r="J4" s="202" t="s">
        <v>193</v>
      </c>
      <c r="K4" s="202" t="s">
        <v>185</v>
      </c>
      <c r="L4" s="202" t="s">
        <v>186</v>
      </c>
      <c r="M4" s="201" t="s">
        <v>192</v>
      </c>
      <c r="N4" s="202" t="s">
        <v>190</v>
      </c>
      <c r="O4" s="201" t="s">
        <v>161</v>
      </c>
      <c r="P4" s="201" t="s">
        <v>221</v>
      </c>
      <c r="Q4" s="201" t="s">
        <v>223</v>
      </c>
      <c r="R4" s="201" t="s">
        <v>195</v>
      </c>
      <c r="S4" s="201" t="s">
        <v>187</v>
      </c>
      <c r="T4" s="203" t="s">
        <v>188</v>
      </c>
      <c r="U4" s="203" t="s">
        <v>154</v>
      </c>
      <c r="V4" s="204" t="s">
        <v>24</v>
      </c>
      <c r="W4" s="201" t="s">
        <v>224</v>
      </c>
      <c r="X4" s="216" t="s">
        <v>215</v>
      </c>
      <c r="Y4" s="205" t="s">
        <v>216</v>
      </c>
      <c r="Z4" s="205" t="s">
        <v>206</v>
      </c>
      <c r="AA4" s="205" t="s">
        <v>217</v>
      </c>
      <c r="AB4" s="205" t="s">
        <v>218</v>
      </c>
      <c r="AC4" s="205" t="s">
        <v>214</v>
      </c>
      <c r="AD4" s="206" t="s">
        <v>245</v>
      </c>
      <c r="AE4" s="207" t="s">
        <v>204</v>
      </c>
      <c r="AF4" s="207" t="s">
        <v>205</v>
      </c>
      <c r="AG4" s="213" t="s">
        <v>246</v>
      </c>
      <c r="AH4" s="201" t="s">
        <v>222</v>
      </c>
      <c r="AI4" s="201" t="s">
        <v>259</v>
      </c>
      <c r="AJ4" s="201" t="s">
        <v>260</v>
      </c>
      <c r="AK4" s="214" t="s">
        <v>140</v>
      </c>
      <c r="AL4" s="201" t="s">
        <v>160</v>
      </c>
      <c r="AM4" s="208" t="s">
        <v>226</v>
      </c>
      <c r="AN4" s="199" t="s">
        <v>247</v>
      </c>
      <c r="AO4" s="215" t="s">
        <v>159</v>
      </c>
      <c r="AP4" s="201" t="s">
        <v>250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Wine",IF(OR('Trial Pricing Calculator'!E14="Spirits",'Trial Pricing Calculator'!E14="Ready_to_Drink",'Trial Pricing Calculator'!E14="Beer"),'Trial Pricing Calculator'!E15))))))))))))))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 t="str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/>
      </c>
      <c r="G5" s="161" t="str">
        <f>IFERROR(ROUND(IF('Trial Pricing Calculator'!K9="Retail Price",C5,AK5),2),"")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IF('Trial Pricing Calculator'!E14="Beer",'Trial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ROUND(IF(AND(OR(O5="Can",O5="Bottle"),A5="Beer"),SUM(0.0292*M5),0),4)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2" t="str">
        <f>IF(A5="","",IF(C5="",MAX(AB5,AC5),MAX(AA5,AC5)))</f>
        <v/>
      </c>
      <c r="AE5" s="163" t="str">
        <f>IF(A5="","",ROUND(IF('Trial Pricing Calculator'!E16="Yes",VLOOKUP(Calculations!A5,Rates!L6:M9,2,0)*J5,VLOOKUP(Calculations!A5,Rates!S6:T9,2,0)*J5),4))</f>
        <v/>
      </c>
      <c r="AF5" s="163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Distribution",C5=""),SUM((Calculations!D5/K5)-Y5),SUM(X5-W5)),4)</f>
        <v>#VALUE!</v>
      </c>
      <c r="AJ5" s="142" t="str">
        <f>IFERROR(ROUND(IF(AND('Trial Pricing Calculator'!D9="MBLL Distribution",C5=""),AI5*H5,AI5/H5),4),"")</f>
        <v/>
      </c>
      <c r="AK5" s="217" t="str">
        <f>IFERROR(IF('Trial Pricing Calculator'!K9="Retail Price",C5,SUM(X5+AD5+AE5+AF5+Z5)),"")</f>
        <v/>
      </c>
      <c r="AL5" s="218" t="str">
        <f>IF(A5="","",ROUND(IF('Trial Pricing Calculator'!K9="Retail Price",AJ5*K5,AI5*K5),2))</f>
        <v/>
      </c>
      <c r="AM5" s="166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200">
        <f>'Trial Pricing Calculator'!E31</f>
        <v>0</v>
      </c>
      <c r="AO5" s="162" t="e">
        <f>ROUND(IF('Trial Pricing Calculator'!K9="Gross Price to Brewer",'Trial Pricing Calculator'!L9,SUM(AH5-AD5)),4)</f>
        <v>#VALUE!</v>
      </c>
      <c r="AP5" s="218" t="str">
        <f>IFERROR(AL5+SUM(Y5*K5),"")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I260"/>
  <sheetViews>
    <sheetView showGridLines="0" workbookViewId="0"/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</cols>
  <sheetData>
    <row r="1" spans="1:35" ht="16" thickBot="1" x14ac:dyDescent="0.4">
      <c r="A1" s="43" t="s">
        <v>256</v>
      </c>
      <c r="B1" s="11"/>
      <c r="C1" s="248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35" ht="15.5" x14ac:dyDescent="0.35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295" t="s">
        <v>257</v>
      </c>
      <c r="M2" s="296"/>
      <c r="N2" s="67" t="s">
        <v>220</v>
      </c>
      <c r="O2" s="148"/>
      <c r="P2" s="69"/>
      <c r="Q2" s="68" t="s">
        <v>219</v>
      </c>
      <c r="R2" s="68"/>
      <c r="S2" s="293" t="s">
        <v>177</v>
      </c>
      <c r="T2" s="294"/>
      <c r="U2" s="67" t="s">
        <v>176</v>
      </c>
      <c r="V2" s="69"/>
      <c r="W2" s="67" t="s">
        <v>178</v>
      </c>
      <c r="X2" s="69"/>
      <c r="Y2" s="67" t="s">
        <v>179</v>
      </c>
      <c r="Z2" s="68"/>
      <c r="AA2" s="67" t="s">
        <v>194</v>
      </c>
      <c r="AB2" s="68"/>
      <c r="AC2" s="68"/>
      <c r="AD2" s="69"/>
      <c r="AE2" t="s">
        <v>162</v>
      </c>
      <c r="AF2" t="s">
        <v>163</v>
      </c>
      <c r="AG2" t="s">
        <v>30</v>
      </c>
      <c r="AH2" t="s">
        <v>164</v>
      </c>
      <c r="AI2" t="s">
        <v>165</v>
      </c>
    </row>
    <row r="3" spans="1:35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297"/>
      <c r="M3" s="298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166</v>
      </c>
      <c r="AF3" t="s">
        <v>167</v>
      </c>
      <c r="AG3">
        <v>100</v>
      </c>
      <c r="AH3">
        <v>1.4435</v>
      </c>
      <c r="AI3">
        <v>0.31</v>
      </c>
    </row>
    <row r="4" spans="1:35" ht="26.5" x14ac:dyDescent="0.35">
      <c r="A4" s="23" t="s">
        <v>7</v>
      </c>
      <c r="B4" s="24" t="s">
        <v>25</v>
      </c>
      <c r="C4" s="23" t="s">
        <v>23</v>
      </c>
      <c r="D4" s="23" t="s">
        <v>151</v>
      </c>
      <c r="E4" s="24" t="s">
        <v>26</v>
      </c>
      <c r="F4" s="25" t="s">
        <v>152</v>
      </c>
      <c r="G4" s="24" t="s">
        <v>27</v>
      </c>
      <c r="H4" s="25" t="s">
        <v>153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166</v>
      </c>
      <c r="AF4" t="s">
        <v>167</v>
      </c>
      <c r="AG4">
        <v>200</v>
      </c>
      <c r="AH4">
        <v>2.347</v>
      </c>
      <c r="AI4">
        <v>0.31</v>
      </c>
    </row>
    <row r="5" spans="1:35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166</v>
      </c>
      <c r="AF5" t="s">
        <v>167</v>
      </c>
      <c r="AG5">
        <v>300</v>
      </c>
      <c r="AH5">
        <v>1.1942999999999999</v>
      </c>
      <c r="AI5">
        <v>0.19</v>
      </c>
    </row>
    <row r="6" spans="1:35" x14ac:dyDescent="0.35">
      <c r="A6" s="27" t="s">
        <v>31</v>
      </c>
      <c r="B6" s="31">
        <v>1</v>
      </c>
      <c r="C6" s="27" t="s">
        <v>32</v>
      </c>
      <c r="D6" s="27" t="s">
        <v>33</v>
      </c>
      <c r="E6" s="265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3">
        <v>0.377</v>
      </c>
      <c r="L6" s="249" t="s">
        <v>14</v>
      </c>
      <c r="M6" s="251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126</v>
      </c>
      <c r="AC6" s="129">
        <v>0</v>
      </c>
      <c r="AD6" s="132"/>
      <c r="AE6" t="s">
        <v>166</v>
      </c>
      <c r="AF6" t="s">
        <v>168</v>
      </c>
      <c r="AG6">
        <v>300</v>
      </c>
      <c r="AH6">
        <v>1.1942999999999999</v>
      </c>
      <c r="AI6">
        <v>0</v>
      </c>
    </row>
    <row r="7" spans="1:35" x14ac:dyDescent="0.35">
      <c r="A7" s="27" t="s">
        <v>36</v>
      </c>
      <c r="B7" s="31">
        <v>1.46</v>
      </c>
      <c r="C7" s="27" t="s">
        <v>37</v>
      </c>
      <c r="D7" s="27" t="s">
        <v>38</v>
      </c>
      <c r="E7" s="265">
        <v>0.4</v>
      </c>
      <c r="F7" s="29" t="s">
        <v>39</v>
      </c>
      <c r="G7" s="48">
        <v>0.88</v>
      </c>
      <c r="H7" s="29" t="s">
        <v>40</v>
      </c>
      <c r="I7" s="265">
        <v>1.2</v>
      </c>
      <c r="J7" s="30" t="s">
        <v>108</v>
      </c>
      <c r="K7" s="254">
        <v>14.117000000000001</v>
      </c>
      <c r="L7" s="249" t="s">
        <v>17</v>
      </c>
      <c r="M7" s="251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130</v>
      </c>
      <c r="AC7" s="129">
        <v>4.9200000000000001E-2</v>
      </c>
      <c r="AD7" s="132"/>
      <c r="AE7" t="s">
        <v>166</v>
      </c>
      <c r="AF7" t="s">
        <v>167</v>
      </c>
      <c r="AG7">
        <v>400</v>
      </c>
      <c r="AH7">
        <v>0.54010000000000002</v>
      </c>
      <c r="AI7">
        <v>0.19</v>
      </c>
    </row>
    <row r="8" spans="1:35" x14ac:dyDescent="0.35">
      <c r="A8" s="27" t="s">
        <v>41</v>
      </c>
      <c r="B8" s="31">
        <v>1.64</v>
      </c>
      <c r="C8" s="27" t="s">
        <v>42</v>
      </c>
      <c r="D8" s="27" t="s">
        <v>43</v>
      </c>
      <c r="E8" s="265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5">
        <v>0.35799999999999998</v>
      </c>
      <c r="L8" s="249" t="s">
        <v>46</v>
      </c>
      <c r="M8" s="251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133</v>
      </c>
      <c r="AC8" s="129">
        <v>0.12280000000000001</v>
      </c>
      <c r="AD8" s="132"/>
      <c r="AE8" t="s">
        <v>166</v>
      </c>
      <c r="AF8" t="s">
        <v>168</v>
      </c>
      <c r="AG8">
        <v>400</v>
      </c>
      <c r="AH8">
        <v>0.54010000000000002</v>
      </c>
      <c r="AI8">
        <v>0</v>
      </c>
    </row>
    <row r="9" spans="1:35" x14ac:dyDescent="0.35">
      <c r="A9" s="27" t="s">
        <v>47</v>
      </c>
      <c r="B9" s="31">
        <v>0.82</v>
      </c>
      <c r="C9" s="27"/>
      <c r="D9" s="27" t="s">
        <v>48</v>
      </c>
      <c r="E9" s="265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6">
        <v>0.745</v>
      </c>
      <c r="L9" s="250" t="s">
        <v>15</v>
      </c>
      <c r="M9" s="252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135</v>
      </c>
      <c r="AC9" s="129">
        <v>0.12280000000000001</v>
      </c>
      <c r="AD9" s="132"/>
      <c r="AE9" t="s">
        <v>169</v>
      </c>
      <c r="AF9" t="s">
        <v>167</v>
      </c>
      <c r="AG9">
        <v>100</v>
      </c>
      <c r="AH9">
        <v>1.4435</v>
      </c>
      <c r="AI9">
        <v>0.5</v>
      </c>
    </row>
    <row r="10" spans="1:35" x14ac:dyDescent="0.35">
      <c r="A10" s="27" t="s">
        <v>51</v>
      </c>
      <c r="B10" s="31">
        <v>0.08</v>
      </c>
      <c r="C10" s="27"/>
      <c r="D10" s="27" t="s">
        <v>52</v>
      </c>
      <c r="E10" s="265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10" t="s">
        <v>111</v>
      </c>
      <c r="K10" s="257">
        <v>0.35799999999999998</v>
      </c>
      <c r="L10" s="211"/>
      <c r="M10" s="212"/>
      <c r="N10" s="61" t="s">
        <v>115</v>
      </c>
      <c r="O10" s="149"/>
      <c r="P10" s="62"/>
      <c r="Q10" s="145"/>
      <c r="R10" s="66"/>
      <c r="AA10" s="133"/>
      <c r="AB10" s="134" t="s">
        <v>141</v>
      </c>
      <c r="AC10" s="135">
        <v>0.12280000000000001</v>
      </c>
      <c r="AD10" s="136"/>
      <c r="AE10" t="s">
        <v>169</v>
      </c>
      <c r="AF10" t="s">
        <v>167</v>
      </c>
      <c r="AG10">
        <v>200</v>
      </c>
      <c r="AH10">
        <v>2.347</v>
      </c>
      <c r="AI10">
        <v>0.5</v>
      </c>
    </row>
    <row r="11" spans="1:35" x14ac:dyDescent="0.35">
      <c r="A11" s="27" t="s">
        <v>55</v>
      </c>
      <c r="B11" s="31">
        <v>1.88</v>
      </c>
      <c r="C11" s="27"/>
      <c r="D11" s="27" t="s">
        <v>56</v>
      </c>
      <c r="E11" s="265">
        <v>0.4</v>
      </c>
      <c r="F11" s="29" t="s">
        <v>57</v>
      </c>
      <c r="G11" s="48">
        <v>0.72</v>
      </c>
      <c r="H11" s="29" t="s">
        <v>58</v>
      </c>
      <c r="I11" s="265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142</v>
      </c>
      <c r="AC11" s="135">
        <v>0.12280000000000001</v>
      </c>
      <c r="AD11" s="136"/>
      <c r="AE11" t="s">
        <v>169</v>
      </c>
      <c r="AF11" t="s">
        <v>167</v>
      </c>
      <c r="AG11">
        <v>300</v>
      </c>
      <c r="AH11">
        <v>1.1942999999999999</v>
      </c>
      <c r="AI11">
        <v>0.47</v>
      </c>
    </row>
    <row r="12" spans="1:35" x14ac:dyDescent="0.35">
      <c r="A12" s="27" t="s">
        <v>59</v>
      </c>
      <c r="B12" s="266">
        <v>0.93</v>
      </c>
      <c r="C12" s="27"/>
      <c r="D12" s="27" t="s">
        <v>60</v>
      </c>
      <c r="E12" s="265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143</v>
      </c>
      <c r="AC12" s="135">
        <v>0.12280000000000001</v>
      </c>
      <c r="AD12" s="136"/>
      <c r="AE12" t="s">
        <v>169</v>
      </c>
      <c r="AF12" t="s">
        <v>168</v>
      </c>
      <c r="AG12">
        <v>300</v>
      </c>
      <c r="AH12">
        <v>1.1942999999999999</v>
      </c>
      <c r="AI12">
        <v>0</v>
      </c>
    </row>
    <row r="13" spans="1:35" x14ac:dyDescent="0.35">
      <c r="A13" s="27"/>
      <c r="B13" s="34"/>
      <c r="C13" s="27"/>
      <c r="D13" s="27" t="s">
        <v>62</v>
      </c>
      <c r="E13" s="265">
        <v>0.4</v>
      </c>
      <c r="F13" s="29" t="s">
        <v>63</v>
      </c>
      <c r="G13" s="48">
        <v>1.01</v>
      </c>
      <c r="H13" s="29" t="s">
        <v>68</v>
      </c>
      <c r="I13" s="265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136</v>
      </c>
      <c r="AC13" s="135">
        <v>0.24560000000000001</v>
      </c>
      <c r="AD13" s="136"/>
      <c r="AE13" t="s">
        <v>169</v>
      </c>
      <c r="AF13" t="s">
        <v>167</v>
      </c>
      <c r="AG13">
        <v>400</v>
      </c>
      <c r="AH13">
        <v>0.54010000000000002</v>
      </c>
      <c r="AI13">
        <v>0.47</v>
      </c>
    </row>
    <row r="14" spans="1:35" x14ac:dyDescent="0.35">
      <c r="A14" s="27" t="s">
        <v>65</v>
      </c>
      <c r="B14" s="34"/>
      <c r="C14" s="27"/>
      <c r="D14" s="27" t="s">
        <v>66</v>
      </c>
      <c r="E14" s="265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144</v>
      </c>
      <c r="AC14" s="135">
        <v>0</v>
      </c>
      <c r="AD14" s="136"/>
      <c r="AE14" t="s">
        <v>169</v>
      </c>
      <c r="AF14" t="s">
        <v>168</v>
      </c>
      <c r="AG14">
        <v>400</v>
      </c>
      <c r="AH14">
        <v>0.54010000000000002</v>
      </c>
      <c r="AI14">
        <v>0</v>
      </c>
    </row>
    <row r="15" spans="1:35" x14ac:dyDescent="0.35">
      <c r="A15" s="27" t="s">
        <v>31</v>
      </c>
      <c r="B15" s="28">
        <v>1</v>
      </c>
      <c r="C15" s="27"/>
      <c r="D15" s="27" t="s">
        <v>69</v>
      </c>
      <c r="E15" s="265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138</v>
      </c>
      <c r="AC15" s="135">
        <v>0.12280000000000001</v>
      </c>
      <c r="AD15" s="136"/>
      <c r="AE15" t="s">
        <v>170</v>
      </c>
      <c r="AF15" t="s">
        <v>167</v>
      </c>
      <c r="AG15" t="s">
        <v>171</v>
      </c>
      <c r="AH15">
        <v>1.4435</v>
      </c>
      <c r="AI15">
        <v>0.8</v>
      </c>
    </row>
    <row r="16" spans="1:35" x14ac:dyDescent="0.35">
      <c r="A16" s="27"/>
      <c r="B16" s="34"/>
      <c r="C16" s="27"/>
      <c r="D16" s="27" t="s">
        <v>72</v>
      </c>
      <c r="E16" s="265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139</v>
      </c>
      <c r="AC16" s="135">
        <v>0</v>
      </c>
      <c r="AD16" s="136"/>
      <c r="AE16" t="s">
        <v>170</v>
      </c>
      <c r="AF16" t="s">
        <v>167</v>
      </c>
      <c r="AG16" t="s">
        <v>172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5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170</v>
      </c>
      <c r="AF17" t="s">
        <v>167</v>
      </c>
      <c r="AG17" t="s">
        <v>173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5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200</v>
      </c>
      <c r="AC18" s="135">
        <v>2.8199999999999999E-2</v>
      </c>
      <c r="AD18" s="136"/>
      <c r="AE18" t="s">
        <v>170</v>
      </c>
      <c r="AF18" t="s">
        <v>168</v>
      </c>
      <c r="AG18" t="s">
        <v>173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5">
        <v>0.4</v>
      </c>
      <c r="F19" s="29" t="s">
        <v>82</v>
      </c>
      <c r="G19" s="48">
        <v>0.82</v>
      </c>
      <c r="H19" s="29" t="s">
        <v>86</v>
      </c>
      <c r="I19" s="265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201</v>
      </c>
      <c r="AC19" s="135">
        <v>7.0400000000000004E-2</v>
      </c>
      <c r="AD19" s="136"/>
      <c r="AE19" t="s">
        <v>170</v>
      </c>
      <c r="AF19" t="s">
        <v>167</v>
      </c>
      <c r="AG19" t="s">
        <v>174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5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202</v>
      </c>
      <c r="AC20" s="135">
        <v>8.5199999999999998E-2</v>
      </c>
      <c r="AD20" s="136"/>
      <c r="AE20" t="s">
        <v>170</v>
      </c>
      <c r="AF20" t="s">
        <v>168</v>
      </c>
      <c r="AG20" t="s">
        <v>174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5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7">
        <v>29.5</v>
      </c>
      <c r="P21" s="58">
        <f>ROUND(1-(100/(O21+100)),6)</f>
        <v>0.227799</v>
      </c>
      <c r="AA21" s="133"/>
      <c r="AB21" s="134" t="s">
        <v>203</v>
      </c>
      <c r="AC21" s="135">
        <v>7.7799999999999994E-2</v>
      </c>
      <c r="AD21" s="136"/>
      <c r="AE21" t="s">
        <v>175</v>
      </c>
      <c r="AF21" t="s">
        <v>167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5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207</v>
      </c>
      <c r="AC22" s="135">
        <v>9.2499999999999999E-2</v>
      </c>
      <c r="AD22" s="136"/>
      <c r="AE22" t="s">
        <v>175</v>
      </c>
      <c r="AF22" t="s">
        <v>167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5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196</v>
      </c>
      <c r="AC23" s="135">
        <v>1.8700000000000001E-2</v>
      </c>
      <c r="AD23" s="136"/>
      <c r="AE23" t="s">
        <v>175</v>
      </c>
      <c r="AF23" t="s">
        <v>167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261</v>
      </c>
      <c r="E24" s="265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197</v>
      </c>
      <c r="AC24" s="135">
        <v>4.6800000000000001E-2</v>
      </c>
      <c r="AD24" s="136"/>
      <c r="AE24" t="s">
        <v>175</v>
      </c>
      <c r="AF24" t="s">
        <v>167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262</v>
      </c>
      <c r="E25" s="265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198</v>
      </c>
      <c r="AC25" s="135">
        <v>0</v>
      </c>
      <c r="AD25" s="136"/>
      <c r="AE25" t="s">
        <v>175</v>
      </c>
      <c r="AF25" t="s">
        <v>168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5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199</v>
      </c>
      <c r="AC26" s="135">
        <v>0</v>
      </c>
      <c r="AD26" s="136"/>
      <c r="AE26" t="s">
        <v>175</v>
      </c>
      <c r="AF26" t="s">
        <v>168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131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19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276</v>
      </c>
      <c r="AC29" s="135">
        <v>1.8700000000000001E-2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5">
        <v>1.1000000000000001</v>
      </c>
      <c r="J30" s="27"/>
      <c r="K30" s="32"/>
      <c r="L30" s="33"/>
      <c r="AA30" s="131" t="s">
        <v>118</v>
      </c>
      <c r="AB30" s="129" t="s">
        <v>128</v>
      </c>
      <c r="AC30" s="129">
        <v>0.28160000000000002</v>
      </c>
      <c r="AD30" s="132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/>
      <c r="AB31" s="129" t="s">
        <v>145</v>
      </c>
      <c r="AC31" s="129">
        <v>0.12280000000000001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263</v>
      </c>
      <c r="I32" s="48">
        <v>1.8</v>
      </c>
      <c r="J32" s="27"/>
      <c r="K32" s="32"/>
      <c r="L32" s="33"/>
      <c r="AA32" s="131"/>
      <c r="AB32" s="129" t="s">
        <v>146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147</v>
      </c>
      <c r="AC33" s="129">
        <v>0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3"/>
      <c r="AB34" s="134" t="s">
        <v>148</v>
      </c>
      <c r="AC34" s="135">
        <v>0.12280000000000001</v>
      </c>
      <c r="AD34" s="136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137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/>
      <c r="AC36" s="135"/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2">
    <mergeCell ref="S2:T2"/>
    <mergeCell ref="L2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05" t="s">
        <v>10</v>
      </c>
      <c r="B1" s="306"/>
      <c r="C1" s="306"/>
      <c r="D1" s="306"/>
      <c r="E1" s="307"/>
    </row>
    <row r="2" spans="1:5" ht="15" thickBot="1" x14ac:dyDescent="0.4">
      <c r="A2" s="302" t="s">
        <v>11</v>
      </c>
      <c r="B2" s="303"/>
      <c r="C2" s="303"/>
      <c r="D2" s="303"/>
      <c r="E2" s="304"/>
    </row>
    <row r="3" spans="1:5" ht="58.5" thickBot="1" x14ac:dyDescent="0.4">
      <c r="A3" s="165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08" t="s">
        <v>14</v>
      </c>
      <c r="B4" s="1" t="s">
        <v>229</v>
      </c>
      <c r="C4" s="195">
        <v>0</v>
      </c>
      <c r="D4" s="195">
        <v>5.8999999999999997E-2</v>
      </c>
      <c r="E4" s="2">
        <v>134.4</v>
      </c>
    </row>
    <row r="5" spans="1:5" x14ac:dyDescent="0.35">
      <c r="A5" s="309"/>
      <c r="B5" s="3" t="s">
        <v>230</v>
      </c>
      <c r="C5" s="196">
        <v>0.06</v>
      </c>
      <c r="D5" s="196">
        <v>9.9000000000000005E-2</v>
      </c>
      <c r="E5" s="4">
        <v>130.02000000000001</v>
      </c>
    </row>
    <row r="6" spans="1:5" x14ac:dyDescent="0.35">
      <c r="A6" s="309"/>
      <c r="B6" s="3" t="s">
        <v>231</v>
      </c>
      <c r="C6" s="196">
        <v>0.1</v>
      </c>
      <c r="D6" s="196">
        <v>0.29899999999999999</v>
      </c>
      <c r="E6" s="4">
        <v>106.38</v>
      </c>
    </row>
    <row r="7" spans="1:5" x14ac:dyDescent="0.35">
      <c r="A7" s="309"/>
      <c r="B7" s="3" t="s">
        <v>232</v>
      </c>
      <c r="C7" s="196">
        <v>0.3</v>
      </c>
      <c r="D7" s="196">
        <v>0.39900000000000002</v>
      </c>
      <c r="E7" s="4">
        <v>88.65</v>
      </c>
    </row>
    <row r="8" spans="1:5" x14ac:dyDescent="0.35">
      <c r="A8" s="309"/>
      <c r="B8" s="3" t="s">
        <v>233</v>
      </c>
      <c r="C8" s="196">
        <v>0.4</v>
      </c>
      <c r="D8" s="196">
        <v>0.69899999999999995</v>
      </c>
      <c r="E8" s="4">
        <v>82.74</v>
      </c>
    </row>
    <row r="9" spans="1:5" ht="15" thickBot="1" x14ac:dyDescent="0.4">
      <c r="A9" s="310"/>
      <c r="B9" s="3" t="s">
        <v>234</v>
      </c>
      <c r="C9" s="196">
        <v>0.7</v>
      </c>
      <c r="D9" s="196">
        <v>999999</v>
      </c>
      <c r="E9" s="4">
        <v>78.069999999999993</v>
      </c>
    </row>
    <row r="10" spans="1:5" x14ac:dyDescent="0.35">
      <c r="A10" s="308" t="s">
        <v>15</v>
      </c>
      <c r="B10" s="1" t="s">
        <v>235</v>
      </c>
      <c r="C10" s="195">
        <v>0</v>
      </c>
      <c r="D10" s="195">
        <v>9.9990000000000006</v>
      </c>
      <c r="E10" s="2">
        <v>78.069999999999993</v>
      </c>
    </row>
    <row r="11" spans="1:5" x14ac:dyDescent="0.35">
      <c r="A11" s="309"/>
      <c r="B11" s="3" t="s">
        <v>236</v>
      </c>
      <c r="C11" s="196">
        <v>10</v>
      </c>
      <c r="D11" s="196">
        <v>19.998999999999999</v>
      </c>
      <c r="E11" s="4">
        <v>70.319999999999993</v>
      </c>
    </row>
    <row r="12" spans="1:5" ht="15" thickBot="1" x14ac:dyDescent="0.4">
      <c r="A12" s="310"/>
      <c r="B12" s="5" t="s">
        <v>237</v>
      </c>
      <c r="C12" s="197">
        <v>20</v>
      </c>
      <c r="D12" s="197">
        <v>999999</v>
      </c>
      <c r="E12" s="6">
        <v>65.010000000000005</v>
      </c>
    </row>
    <row r="13" spans="1:5" x14ac:dyDescent="0.35">
      <c r="A13" s="299" t="s">
        <v>227</v>
      </c>
      <c r="B13" s="1" t="s">
        <v>238</v>
      </c>
      <c r="C13" s="195">
        <v>0</v>
      </c>
      <c r="D13" s="195">
        <v>9.9000000000000005E-2</v>
      </c>
      <c r="E13" s="2">
        <v>157.79</v>
      </c>
    </row>
    <row r="14" spans="1:5" x14ac:dyDescent="0.35">
      <c r="A14" s="300"/>
      <c r="B14" s="3" t="s">
        <v>239</v>
      </c>
      <c r="C14" s="196">
        <v>0.1</v>
      </c>
      <c r="D14" s="196">
        <v>0.249</v>
      </c>
      <c r="E14" s="4">
        <v>106.38</v>
      </c>
    </row>
    <row r="15" spans="1:5" x14ac:dyDescent="0.35">
      <c r="A15" s="300"/>
      <c r="B15" s="3" t="s">
        <v>240</v>
      </c>
      <c r="C15" s="196">
        <v>0.25</v>
      </c>
      <c r="D15" s="196">
        <v>0.39900000000000002</v>
      </c>
      <c r="E15" s="4">
        <v>88.65</v>
      </c>
    </row>
    <row r="16" spans="1:5" x14ac:dyDescent="0.35">
      <c r="A16" s="300"/>
      <c r="B16" s="3" t="s">
        <v>233</v>
      </c>
      <c r="C16" s="196">
        <v>0.4</v>
      </c>
      <c r="D16" s="196">
        <v>0.69899999999999995</v>
      </c>
      <c r="E16" s="4">
        <v>82.74</v>
      </c>
    </row>
    <row r="17" spans="1:5" ht="15" thickBot="1" x14ac:dyDescent="0.4">
      <c r="A17" s="301"/>
      <c r="B17" s="5" t="s">
        <v>234</v>
      </c>
      <c r="C17" s="197">
        <v>0.7</v>
      </c>
      <c r="D17" s="197">
        <v>999999</v>
      </c>
      <c r="E17" s="6">
        <v>78.069999999999993</v>
      </c>
    </row>
    <row r="18" spans="1:5" x14ac:dyDescent="0.35">
      <c r="A18" s="299" t="s">
        <v>228</v>
      </c>
      <c r="B18" s="1" t="s">
        <v>238</v>
      </c>
      <c r="C18" s="195">
        <v>0</v>
      </c>
      <c r="D18" s="195">
        <v>9.9000000000000005E-2</v>
      </c>
      <c r="E18" s="2">
        <v>165.69</v>
      </c>
    </row>
    <row r="19" spans="1:5" x14ac:dyDescent="0.35">
      <c r="A19" s="300"/>
      <c r="B19" s="3" t="s">
        <v>239</v>
      </c>
      <c r="C19" s="196">
        <v>0.1</v>
      </c>
      <c r="D19" s="196">
        <v>0.249</v>
      </c>
      <c r="E19" s="4">
        <v>111.7</v>
      </c>
    </row>
    <row r="20" spans="1:5" x14ac:dyDescent="0.35">
      <c r="A20" s="300"/>
      <c r="B20" s="3" t="s">
        <v>240</v>
      </c>
      <c r="C20" s="196">
        <v>0.25</v>
      </c>
      <c r="D20" s="196">
        <v>0.39900000000000002</v>
      </c>
      <c r="E20" s="4">
        <v>93.08</v>
      </c>
    </row>
    <row r="21" spans="1:5" x14ac:dyDescent="0.35">
      <c r="A21" s="300"/>
      <c r="B21" s="3" t="s">
        <v>233</v>
      </c>
      <c r="C21" s="196">
        <v>0.4</v>
      </c>
      <c r="D21" s="196">
        <v>0.69899999999999995</v>
      </c>
      <c r="E21" s="4">
        <v>86.88</v>
      </c>
    </row>
    <row r="22" spans="1:5" ht="15" thickBot="1" x14ac:dyDescent="0.4">
      <c r="A22" s="301"/>
      <c r="B22" s="5" t="s">
        <v>234</v>
      </c>
      <c r="C22" s="197">
        <v>0.7</v>
      </c>
      <c r="D22" s="197">
        <v>999999</v>
      </c>
      <c r="E22" s="6">
        <v>81.97</v>
      </c>
    </row>
    <row r="23" spans="1:5" x14ac:dyDescent="0.35">
      <c r="A23" s="308" t="s">
        <v>17</v>
      </c>
      <c r="B23" s="1" t="s">
        <v>238</v>
      </c>
      <c r="C23" s="195">
        <v>0</v>
      </c>
      <c r="D23" s="195">
        <v>9.9000000000000005E-2</v>
      </c>
      <c r="E23" s="2">
        <v>153.65</v>
      </c>
    </row>
    <row r="24" spans="1:5" x14ac:dyDescent="0.35">
      <c r="A24" s="309"/>
      <c r="B24" s="3" t="s">
        <v>241</v>
      </c>
      <c r="C24" s="196">
        <v>0.1</v>
      </c>
      <c r="D24" s="196">
        <v>0.374</v>
      </c>
      <c r="E24" s="4">
        <v>112.29</v>
      </c>
    </row>
    <row r="25" spans="1:5" x14ac:dyDescent="0.35">
      <c r="A25" s="309"/>
      <c r="B25" s="3" t="s">
        <v>242</v>
      </c>
      <c r="C25" s="196">
        <v>0.375</v>
      </c>
      <c r="D25" s="196">
        <v>0.69899999999999995</v>
      </c>
      <c r="E25" s="4">
        <v>82.74</v>
      </c>
    </row>
    <row r="26" spans="1:5" x14ac:dyDescent="0.35">
      <c r="A26" s="309"/>
      <c r="B26" s="3" t="s">
        <v>243</v>
      </c>
      <c r="C26" s="196">
        <v>0.7</v>
      </c>
      <c r="D26" s="196">
        <v>3.9990000000000001</v>
      </c>
      <c r="E26" s="4">
        <v>78.069999999999993</v>
      </c>
    </row>
    <row r="27" spans="1:5" ht="15" thickBot="1" x14ac:dyDescent="0.4">
      <c r="A27" s="310"/>
      <c r="B27" s="5" t="s">
        <v>18</v>
      </c>
      <c r="C27" s="197">
        <v>4</v>
      </c>
      <c r="D27" s="197">
        <v>999999</v>
      </c>
      <c r="E27" s="6">
        <v>65.010000000000005</v>
      </c>
    </row>
    <row r="28" spans="1:5" x14ac:dyDescent="0.35">
      <c r="A28" s="299" t="s">
        <v>19</v>
      </c>
      <c r="B28" s="1" t="s">
        <v>16</v>
      </c>
      <c r="C28" s="195">
        <v>0</v>
      </c>
      <c r="D28" s="195">
        <v>9.9000000000000005E-2</v>
      </c>
      <c r="E28" s="2">
        <v>236.4</v>
      </c>
    </row>
    <row r="29" spans="1:5" x14ac:dyDescent="0.35">
      <c r="A29" s="300"/>
      <c r="B29" s="3" t="s">
        <v>241</v>
      </c>
      <c r="C29" s="196">
        <v>0.1</v>
      </c>
      <c r="D29" s="196">
        <v>0.374</v>
      </c>
      <c r="E29" s="4">
        <v>112.29</v>
      </c>
    </row>
    <row r="30" spans="1:5" x14ac:dyDescent="0.35">
      <c r="A30" s="300"/>
      <c r="B30" s="3" t="s">
        <v>242</v>
      </c>
      <c r="C30" s="196">
        <v>0.375</v>
      </c>
      <c r="D30" s="196">
        <v>0.69899999999999995</v>
      </c>
      <c r="E30" s="4">
        <v>82.74</v>
      </c>
    </row>
    <row r="31" spans="1:5" ht="15" thickBot="1" x14ac:dyDescent="0.4">
      <c r="A31" s="301"/>
      <c r="B31" s="5" t="s">
        <v>234</v>
      </c>
      <c r="C31" s="197">
        <v>0.7</v>
      </c>
      <c r="D31" s="197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T23"/>
  <sheetViews>
    <sheetView showGridLines="0" workbookViewId="0">
      <selection activeCell="H28" sqref="H28"/>
    </sheetView>
  </sheetViews>
  <sheetFormatPr defaultRowHeight="14.5" x14ac:dyDescent="0.35"/>
  <cols>
    <col min="1" max="1" width="4.7265625" customWidth="1"/>
  </cols>
  <sheetData>
    <row r="2" spans="2:20" x14ac:dyDescent="0.35">
      <c r="B2" s="311" t="s">
        <v>15</v>
      </c>
      <c r="C2" s="314" t="s">
        <v>267</v>
      </c>
      <c r="D2" s="315"/>
      <c r="E2" s="315"/>
      <c r="F2" s="316"/>
      <c r="G2" s="314" t="s">
        <v>268</v>
      </c>
      <c r="H2" s="315"/>
      <c r="I2" s="315"/>
      <c r="J2" s="316"/>
      <c r="K2" s="317" t="s">
        <v>269</v>
      </c>
      <c r="L2" s="318"/>
      <c r="M2" s="318"/>
      <c r="N2" s="318"/>
      <c r="O2" s="319"/>
      <c r="P2" s="317" t="s">
        <v>270</v>
      </c>
      <c r="Q2" s="318"/>
      <c r="R2" s="318"/>
      <c r="S2" s="318"/>
      <c r="T2" s="319"/>
    </row>
    <row r="3" spans="2:20" x14ac:dyDescent="0.35">
      <c r="B3" s="312"/>
      <c r="C3" s="314" t="s">
        <v>264</v>
      </c>
      <c r="D3" s="316"/>
      <c r="E3" s="314" t="s">
        <v>265</v>
      </c>
      <c r="F3" s="316"/>
      <c r="G3" s="314" t="s">
        <v>264</v>
      </c>
      <c r="H3" s="316"/>
      <c r="I3" s="314" t="s">
        <v>265</v>
      </c>
      <c r="J3" s="316"/>
      <c r="K3" s="317" t="s">
        <v>264</v>
      </c>
      <c r="L3" s="319"/>
      <c r="M3" s="317" t="s">
        <v>265</v>
      </c>
      <c r="N3" s="318"/>
      <c r="O3" s="270" t="s">
        <v>275</v>
      </c>
      <c r="P3" s="317" t="s">
        <v>264</v>
      </c>
      <c r="Q3" s="319"/>
      <c r="R3" s="317" t="s">
        <v>265</v>
      </c>
      <c r="S3" s="318"/>
      <c r="T3" s="270" t="s">
        <v>275</v>
      </c>
    </row>
    <row r="4" spans="2:20" x14ac:dyDescent="0.35">
      <c r="B4" s="312"/>
      <c r="C4" s="268" t="s">
        <v>271</v>
      </c>
      <c r="D4" s="268" t="s">
        <v>272</v>
      </c>
      <c r="E4" s="268" t="s">
        <v>271</v>
      </c>
      <c r="F4" s="268" t="s">
        <v>272</v>
      </c>
      <c r="G4" s="268" t="s">
        <v>271</v>
      </c>
      <c r="H4" s="268" t="s">
        <v>272</v>
      </c>
      <c r="I4" s="268" t="s">
        <v>271</v>
      </c>
      <c r="J4" s="268" t="s">
        <v>272</v>
      </c>
      <c r="K4" s="270" t="s">
        <v>271</v>
      </c>
      <c r="L4" s="270" t="s">
        <v>274</v>
      </c>
      <c r="M4" s="270" t="s">
        <v>271</v>
      </c>
      <c r="N4" s="270" t="s">
        <v>274</v>
      </c>
      <c r="O4" s="270" t="s">
        <v>274</v>
      </c>
      <c r="P4" s="270" t="s">
        <v>271</v>
      </c>
      <c r="Q4" s="270" t="s">
        <v>274</v>
      </c>
      <c r="R4" s="270" t="s">
        <v>271</v>
      </c>
      <c r="S4" s="270" t="s">
        <v>274</v>
      </c>
      <c r="T4" s="270" t="s">
        <v>274</v>
      </c>
    </row>
    <row r="5" spans="2:20" x14ac:dyDescent="0.35">
      <c r="B5" s="313"/>
      <c r="C5" s="269" t="s">
        <v>273</v>
      </c>
      <c r="D5" s="269" t="s">
        <v>273</v>
      </c>
      <c r="E5" s="269" t="s">
        <v>273</v>
      </c>
      <c r="F5" s="269" t="s">
        <v>273</v>
      </c>
      <c r="G5" s="269" t="s">
        <v>273</v>
      </c>
      <c r="H5" s="269" t="s">
        <v>273</v>
      </c>
      <c r="I5" s="269" t="s">
        <v>273</v>
      </c>
      <c r="J5" s="269" t="s">
        <v>273</v>
      </c>
      <c r="K5" s="269" t="s">
        <v>273</v>
      </c>
      <c r="L5" s="269" t="s">
        <v>273</v>
      </c>
      <c r="M5" s="269" t="s">
        <v>273</v>
      </c>
      <c r="N5" s="269" t="s">
        <v>273</v>
      </c>
      <c r="O5" s="269" t="s">
        <v>273</v>
      </c>
      <c r="P5" s="269" t="s">
        <v>273</v>
      </c>
      <c r="Q5" s="269" t="s">
        <v>273</v>
      </c>
      <c r="R5" s="269" t="s">
        <v>273</v>
      </c>
      <c r="S5" s="269" t="s">
        <v>273</v>
      </c>
      <c r="T5" s="269" t="s">
        <v>273</v>
      </c>
    </row>
    <row r="8" spans="2:20" x14ac:dyDescent="0.35">
      <c r="B8" s="311" t="s">
        <v>118</v>
      </c>
      <c r="C8" s="314" t="s">
        <v>267</v>
      </c>
      <c r="D8" s="315"/>
      <c r="E8" s="315"/>
      <c r="F8" s="316"/>
      <c r="G8" s="314" t="s">
        <v>268</v>
      </c>
      <c r="H8" s="315"/>
      <c r="I8" s="315"/>
      <c r="J8" s="316"/>
      <c r="K8" s="317" t="s">
        <v>269</v>
      </c>
      <c r="L8" s="318"/>
      <c r="M8" s="318"/>
      <c r="N8" s="318"/>
      <c r="O8" s="319"/>
      <c r="P8" s="317" t="s">
        <v>270</v>
      </c>
      <c r="Q8" s="318"/>
      <c r="R8" s="318"/>
      <c r="S8" s="318"/>
      <c r="T8" s="319"/>
    </row>
    <row r="9" spans="2:20" x14ac:dyDescent="0.35">
      <c r="B9" s="312"/>
      <c r="C9" s="314" t="s">
        <v>264</v>
      </c>
      <c r="D9" s="316"/>
      <c r="E9" s="314" t="s">
        <v>265</v>
      </c>
      <c r="F9" s="316"/>
      <c r="G9" s="314" t="s">
        <v>264</v>
      </c>
      <c r="H9" s="316"/>
      <c r="I9" s="314" t="s">
        <v>265</v>
      </c>
      <c r="J9" s="316"/>
      <c r="K9" s="317" t="s">
        <v>264</v>
      </c>
      <c r="L9" s="319"/>
      <c r="M9" s="317" t="s">
        <v>265</v>
      </c>
      <c r="N9" s="318"/>
      <c r="O9" s="270" t="s">
        <v>275</v>
      </c>
      <c r="P9" s="317" t="s">
        <v>264</v>
      </c>
      <c r="Q9" s="319"/>
      <c r="R9" s="317" t="s">
        <v>265</v>
      </c>
      <c r="S9" s="318"/>
      <c r="T9" s="270" t="s">
        <v>275</v>
      </c>
    </row>
    <row r="10" spans="2:20" x14ac:dyDescent="0.35">
      <c r="B10" s="312"/>
      <c r="C10" s="268" t="s">
        <v>271</v>
      </c>
      <c r="D10" s="268" t="s">
        <v>272</v>
      </c>
      <c r="E10" s="268" t="s">
        <v>271</v>
      </c>
      <c r="F10" s="268" t="s">
        <v>272</v>
      </c>
      <c r="G10" s="268" t="s">
        <v>271</v>
      </c>
      <c r="H10" s="268" t="s">
        <v>272</v>
      </c>
      <c r="I10" s="268" t="s">
        <v>271</v>
      </c>
      <c r="J10" s="268" t="s">
        <v>272</v>
      </c>
      <c r="K10" s="270" t="s">
        <v>271</v>
      </c>
      <c r="L10" s="270" t="s">
        <v>274</v>
      </c>
      <c r="M10" s="270" t="s">
        <v>271</v>
      </c>
      <c r="N10" s="270" t="s">
        <v>274</v>
      </c>
      <c r="O10" s="270" t="s">
        <v>274</v>
      </c>
      <c r="P10" s="270" t="s">
        <v>271</v>
      </c>
      <c r="Q10" s="270" t="s">
        <v>274</v>
      </c>
      <c r="R10" s="270" t="s">
        <v>271</v>
      </c>
      <c r="S10" s="270" t="s">
        <v>274</v>
      </c>
      <c r="T10" s="270" t="s">
        <v>274</v>
      </c>
    </row>
    <row r="11" spans="2:20" x14ac:dyDescent="0.35">
      <c r="B11" s="313"/>
      <c r="C11" s="269" t="s">
        <v>273</v>
      </c>
      <c r="D11" s="269" t="s">
        <v>273</v>
      </c>
      <c r="E11" s="269" t="s">
        <v>273</v>
      </c>
      <c r="F11" s="269" t="s">
        <v>273</v>
      </c>
      <c r="G11" s="269" t="s">
        <v>273</v>
      </c>
      <c r="H11" s="269" t="s">
        <v>273</v>
      </c>
      <c r="I11" s="269" t="s">
        <v>273</v>
      </c>
      <c r="J11" s="269" t="s">
        <v>273</v>
      </c>
      <c r="K11" s="269" t="s">
        <v>273</v>
      </c>
      <c r="L11" s="269" t="s">
        <v>273</v>
      </c>
      <c r="M11" s="269" t="s">
        <v>273</v>
      </c>
      <c r="N11" s="269" t="s">
        <v>273</v>
      </c>
      <c r="O11" s="269" t="s">
        <v>273</v>
      </c>
      <c r="P11" s="269" t="s">
        <v>273</v>
      </c>
      <c r="Q11" s="269" t="s">
        <v>273</v>
      </c>
      <c r="R11" s="269" t="s">
        <v>273</v>
      </c>
      <c r="S11" s="269" t="s">
        <v>273</v>
      </c>
      <c r="T11" s="269" t="s">
        <v>273</v>
      </c>
    </row>
    <row r="14" spans="2:20" x14ac:dyDescent="0.35">
      <c r="B14" s="311" t="s">
        <v>266</v>
      </c>
      <c r="C14" s="317" t="s">
        <v>269</v>
      </c>
      <c r="D14" s="318"/>
      <c r="E14" s="318"/>
      <c r="F14" s="318"/>
      <c r="G14" s="319"/>
      <c r="H14" s="317" t="s">
        <v>270</v>
      </c>
      <c r="I14" s="318"/>
      <c r="J14" s="318"/>
      <c r="K14" s="318"/>
      <c r="L14" s="319"/>
    </row>
    <row r="15" spans="2:20" x14ac:dyDescent="0.35">
      <c r="B15" s="312"/>
      <c r="C15" s="317" t="s">
        <v>264</v>
      </c>
      <c r="D15" s="319"/>
      <c r="E15" s="317" t="s">
        <v>265</v>
      </c>
      <c r="F15" s="318"/>
      <c r="G15" s="270" t="s">
        <v>275</v>
      </c>
      <c r="H15" s="317" t="s">
        <v>264</v>
      </c>
      <c r="I15" s="319"/>
      <c r="J15" s="317" t="s">
        <v>265</v>
      </c>
      <c r="K15" s="318"/>
      <c r="L15" s="270" t="s">
        <v>275</v>
      </c>
    </row>
    <row r="16" spans="2:20" x14ac:dyDescent="0.35">
      <c r="B16" s="312"/>
      <c r="C16" s="270" t="s">
        <v>271</v>
      </c>
      <c r="D16" s="270" t="s">
        <v>274</v>
      </c>
      <c r="E16" s="270" t="s">
        <v>271</v>
      </c>
      <c r="F16" s="270" t="s">
        <v>274</v>
      </c>
      <c r="G16" s="270" t="s">
        <v>274</v>
      </c>
      <c r="H16" s="270" t="s">
        <v>271</v>
      </c>
      <c r="I16" s="270" t="s">
        <v>274</v>
      </c>
      <c r="J16" s="270" t="s">
        <v>271</v>
      </c>
      <c r="K16" s="270" t="s">
        <v>274</v>
      </c>
      <c r="L16" s="270" t="s">
        <v>274</v>
      </c>
    </row>
    <row r="17" spans="2:12" x14ac:dyDescent="0.35">
      <c r="B17" s="313"/>
      <c r="C17" s="269" t="s">
        <v>273</v>
      </c>
      <c r="D17" s="269" t="s">
        <v>273</v>
      </c>
      <c r="E17" s="269" t="s">
        <v>273</v>
      </c>
      <c r="F17" s="269" t="s">
        <v>273</v>
      </c>
      <c r="G17" s="269" t="s">
        <v>273</v>
      </c>
      <c r="H17" s="269" t="s">
        <v>273</v>
      </c>
      <c r="I17" s="269" t="s">
        <v>273</v>
      </c>
      <c r="J17" s="269" t="s">
        <v>273</v>
      </c>
      <c r="K17" s="269" t="s">
        <v>273</v>
      </c>
      <c r="L17" s="269" t="s">
        <v>273</v>
      </c>
    </row>
    <row r="20" spans="2:12" x14ac:dyDescent="0.35">
      <c r="B20" s="311" t="s">
        <v>14</v>
      </c>
      <c r="C20" s="317" t="s">
        <v>269</v>
      </c>
      <c r="D20" s="318"/>
      <c r="E20" s="318"/>
      <c r="F20" s="318"/>
      <c r="G20" s="319"/>
      <c r="H20" s="317" t="s">
        <v>270</v>
      </c>
      <c r="I20" s="318"/>
      <c r="J20" s="318"/>
      <c r="K20" s="318"/>
      <c r="L20" s="319"/>
    </row>
    <row r="21" spans="2:12" x14ac:dyDescent="0.35">
      <c r="B21" s="312"/>
      <c r="C21" s="271" t="s">
        <v>264</v>
      </c>
      <c r="D21" s="273"/>
      <c r="E21" s="271" t="s">
        <v>265</v>
      </c>
      <c r="F21" s="272"/>
      <c r="G21" s="270" t="s">
        <v>275</v>
      </c>
      <c r="H21" s="317" t="s">
        <v>264</v>
      </c>
      <c r="I21" s="319"/>
      <c r="J21" s="317" t="s">
        <v>265</v>
      </c>
      <c r="K21" s="318"/>
      <c r="L21" s="270" t="s">
        <v>275</v>
      </c>
    </row>
    <row r="22" spans="2:12" x14ac:dyDescent="0.35">
      <c r="B22" s="312"/>
      <c r="C22" s="270" t="s">
        <v>271</v>
      </c>
      <c r="D22" s="270" t="s">
        <v>274</v>
      </c>
      <c r="E22" s="270" t="s">
        <v>271</v>
      </c>
      <c r="F22" s="270" t="s">
        <v>274</v>
      </c>
      <c r="G22" s="270" t="s">
        <v>274</v>
      </c>
      <c r="H22" s="270" t="s">
        <v>271</v>
      </c>
      <c r="I22" s="270" t="s">
        <v>274</v>
      </c>
      <c r="J22" s="270" t="s">
        <v>271</v>
      </c>
      <c r="K22" s="270" t="s">
        <v>274</v>
      </c>
      <c r="L22" s="270" t="s">
        <v>274</v>
      </c>
    </row>
    <row r="23" spans="2:12" x14ac:dyDescent="0.35">
      <c r="B23" s="313"/>
      <c r="C23" s="269" t="s">
        <v>273</v>
      </c>
      <c r="D23" s="269" t="s">
        <v>273</v>
      </c>
      <c r="E23" s="269" t="s">
        <v>273</v>
      </c>
      <c r="F23" s="269" t="s">
        <v>273</v>
      </c>
      <c r="G23" s="269" t="s">
        <v>273</v>
      </c>
      <c r="H23" s="269" t="s">
        <v>273</v>
      </c>
      <c r="I23" s="269" t="s">
        <v>273</v>
      </c>
      <c r="J23" s="269" t="s">
        <v>273</v>
      </c>
      <c r="K23" s="269" t="s">
        <v>273</v>
      </c>
      <c r="L23" s="269" t="s">
        <v>273</v>
      </c>
    </row>
  </sheetData>
  <mergeCells count="38"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  <mergeCell ref="C9:D9"/>
    <mergeCell ref="E9:F9"/>
    <mergeCell ref="G9:H9"/>
    <mergeCell ref="I9:J9"/>
    <mergeCell ref="K9:L9"/>
    <mergeCell ref="M3:N3"/>
    <mergeCell ref="K8:O8"/>
    <mergeCell ref="P8:T8"/>
    <mergeCell ref="P9:Q9"/>
    <mergeCell ref="R9:S9"/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A4" sqref="A4:A7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123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123</v>
      </c>
      <c r="B2" s="75" t="s">
        <v>124</v>
      </c>
      <c r="C2" s="75" t="s">
        <v>124</v>
      </c>
      <c r="D2" s="75" t="s">
        <v>124</v>
      </c>
      <c r="E2" s="76" t="s">
        <v>124</v>
      </c>
      <c r="F2" s="76" t="s">
        <v>248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125</v>
      </c>
      <c r="H3" s="79" t="s">
        <v>158</v>
      </c>
      <c r="I3" s="79" t="s">
        <v>157</v>
      </c>
      <c r="J3" s="79" t="s">
        <v>156</v>
      </c>
      <c r="K3" s="79" t="s">
        <v>254</v>
      </c>
      <c r="L3" s="79" t="s">
        <v>255</v>
      </c>
      <c r="M3" s="79" t="s">
        <v>209</v>
      </c>
      <c r="N3" s="79" t="s">
        <v>213</v>
      </c>
    </row>
    <row r="4" spans="1:14" x14ac:dyDescent="0.35">
      <c r="A4" s="12" t="s">
        <v>14</v>
      </c>
      <c r="B4" s="29" t="s">
        <v>126</v>
      </c>
      <c r="C4" s="29" t="s">
        <v>127</v>
      </c>
      <c r="D4" s="29" t="s">
        <v>128</v>
      </c>
      <c r="E4" s="80" t="s">
        <v>15</v>
      </c>
      <c r="F4" s="81" t="s">
        <v>15</v>
      </c>
      <c r="G4" s="80" t="s">
        <v>129</v>
      </c>
      <c r="H4" s="80" t="s">
        <v>155</v>
      </c>
      <c r="I4" t="s">
        <v>154</v>
      </c>
      <c r="J4" t="s">
        <v>155</v>
      </c>
      <c r="K4" t="s">
        <v>159</v>
      </c>
      <c r="L4" t="s">
        <v>160</v>
      </c>
      <c r="M4" t="s">
        <v>208</v>
      </c>
    </row>
    <row r="5" spans="1:14" x14ac:dyDescent="0.35">
      <c r="A5" s="81" t="s">
        <v>17</v>
      </c>
      <c r="B5" s="29" t="s">
        <v>130</v>
      </c>
      <c r="C5" s="29" t="s">
        <v>131</v>
      </c>
      <c r="D5" s="29" t="s">
        <v>145</v>
      </c>
      <c r="E5" s="80"/>
      <c r="F5" s="81" t="s">
        <v>46</v>
      </c>
      <c r="G5" s="29" t="s">
        <v>132</v>
      </c>
      <c r="H5" s="29" t="s">
        <v>24</v>
      </c>
      <c r="I5" s="29"/>
      <c r="K5" t="s">
        <v>140</v>
      </c>
      <c r="L5" t="s">
        <v>140</v>
      </c>
      <c r="M5" t="s">
        <v>210</v>
      </c>
    </row>
    <row r="6" spans="1:14" x14ac:dyDescent="0.35">
      <c r="A6" s="81" t="s">
        <v>46</v>
      </c>
      <c r="B6" s="29" t="s">
        <v>133</v>
      </c>
      <c r="C6" s="29" t="s">
        <v>134</v>
      </c>
      <c r="D6" s="29" t="s">
        <v>146</v>
      </c>
      <c r="E6" s="80"/>
      <c r="F6" s="80"/>
      <c r="G6" s="29"/>
      <c r="M6" t="s">
        <v>211</v>
      </c>
    </row>
    <row r="7" spans="1:14" x14ac:dyDescent="0.35">
      <c r="A7" s="81" t="s">
        <v>15</v>
      </c>
      <c r="B7" s="29" t="s">
        <v>135</v>
      </c>
      <c r="C7" s="29" t="s">
        <v>19</v>
      </c>
      <c r="D7" s="29" t="s">
        <v>147</v>
      </c>
      <c r="E7" s="80"/>
      <c r="F7" s="80"/>
      <c r="G7" s="29"/>
      <c r="M7" t="s">
        <v>212</v>
      </c>
    </row>
    <row r="8" spans="1:14" x14ac:dyDescent="0.35">
      <c r="A8" s="81"/>
      <c r="B8" s="29" t="s">
        <v>141</v>
      </c>
      <c r="C8" s="29"/>
      <c r="D8" s="41" t="s">
        <v>148</v>
      </c>
      <c r="E8" s="80"/>
      <c r="F8" s="80"/>
      <c r="G8" s="29"/>
    </row>
    <row r="9" spans="1:14" x14ac:dyDescent="0.35">
      <c r="A9" s="81"/>
      <c r="B9" s="12" t="s">
        <v>142</v>
      </c>
      <c r="C9" s="29"/>
      <c r="D9" s="41" t="s">
        <v>137</v>
      </c>
      <c r="E9" s="80"/>
      <c r="F9" s="80"/>
      <c r="G9" s="29"/>
    </row>
    <row r="10" spans="1:14" x14ac:dyDescent="0.35">
      <c r="A10" s="81"/>
      <c r="B10" s="12" t="s">
        <v>143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136</v>
      </c>
      <c r="C11" s="29"/>
      <c r="D11" s="29"/>
      <c r="E11" s="80"/>
      <c r="F11" s="80"/>
      <c r="G11" s="29"/>
    </row>
    <row r="12" spans="1:14" x14ac:dyDescent="0.35">
      <c r="B12" s="29" t="s">
        <v>144</v>
      </c>
      <c r="G12" s="7"/>
    </row>
    <row r="13" spans="1:14" x14ac:dyDescent="0.35">
      <c r="B13" s="29" t="s">
        <v>138</v>
      </c>
      <c r="G13" s="7"/>
    </row>
    <row r="14" spans="1:14" x14ac:dyDescent="0.35">
      <c r="A14" s="81"/>
      <c r="B14" s="29" t="s">
        <v>139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2026-02-02T21:27:05Z</dcterms:modified>
</cp:coreProperties>
</file>