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3600" documentId="8_{F1064131-A236-47D2-9F2D-98F896A091A6}" xr6:coauthVersionLast="47" xr6:coauthVersionMax="47" xr10:uidLastSave="{5D17A97D-89A0-424D-94E0-AA43565D0403}"/>
  <workbookProtection workbookAlgorithmName="SHA-512" workbookHashValue="OG7j170MYnICPQJxDIW/y3qAHaDW8O2Mmu/1rfUWhIe6jnKCFON34L4yMvjo8FwxfEtD2X76e92AZ449Ylmr5Q==" workbookSaltValue="BsQfeo4uuPxLkNpTCdB8XA==" workbookSpinCount="100000" lockStructure="1"/>
  <bookViews>
    <workbookView xWindow="22930" yWindow="-7430" windowWidth="30940" windowHeight="16780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Data!$M$4:$M$7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" l="1"/>
  <c r="K21" i="1"/>
  <c r="K16" i="1"/>
  <c r="K22" i="1"/>
  <c r="K20" i="1"/>
  <c r="K15" i="1"/>
  <c r="L24" i="1"/>
  <c r="L25" i="1" s="1"/>
  <c r="D31" i="1"/>
  <c r="K25" i="1"/>
  <c r="Y5" i="4" l="1"/>
  <c r="D5" i="4" l="1"/>
  <c r="D17" i="1" l="1"/>
  <c r="E22" i="1"/>
  <c r="D24" i="1" l="1"/>
  <c r="D22" i="1"/>
  <c r="D26" i="1"/>
  <c r="D18" i="1" l="1"/>
  <c r="D19" i="1" s="1"/>
  <c r="AN5" i="4" l="1"/>
  <c r="P5" i="4"/>
  <c r="H5" i="4"/>
  <c r="A5" i="4"/>
  <c r="K32" i="1"/>
  <c r="K24" i="1"/>
  <c r="P22" i="3" l="1"/>
  <c r="P21" i="3"/>
  <c r="P18" i="3"/>
  <c r="P17" i="3"/>
  <c r="P16" i="3"/>
  <c r="P13" i="3"/>
  <c r="P12" i="3"/>
  <c r="P9" i="3"/>
  <c r="P8" i="3"/>
  <c r="C5" i="4" l="1"/>
  <c r="R5" i="4" l="1"/>
  <c r="S5" i="4"/>
  <c r="O5" i="4"/>
  <c r="Z5" i="4" s="1"/>
  <c r="L5" i="4"/>
  <c r="J5" i="4"/>
  <c r="M5" i="4"/>
  <c r="N5" i="4"/>
  <c r="B5" i="4" s="1"/>
  <c r="K5" i="4"/>
  <c r="AE5" i="4" l="1"/>
  <c r="L21" i="1" s="1"/>
  <c r="U5" i="4"/>
  <c r="AC5" i="4"/>
  <c r="T5" i="4"/>
  <c r="L16" i="1" s="1"/>
  <c r="AF5" i="4"/>
  <c r="L22" i="1" s="1"/>
  <c r="L23" i="1"/>
  <c r="K34" i="1"/>
  <c r="K18" i="1"/>
  <c r="K17" i="1"/>
  <c r="K14" i="1"/>
  <c r="L18" i="1" l="1"/>
  <c r="AM5" i="4" a="1"/>
  <c r="AM5" i="4" s="1"/>
  <c r="L36" i="1" s="1"/>
  <c r="AG5" i="4"/>
  <c r="V5" i="4"/>
  <c r="Q5" i="4"/>
  <c r="D27" i="1"/>
  <c r="D23" i="1"/>
  <c r="W5" i="4" l="1"/>
  <c r="L17" i="1"/>
  <c r="L32" i="1" l="1"/>
  <c r="AH5" i="4" l="1"/>
  <c r="AA5" i="4" l="1"/>
  <c r="AD5" i="4" s="1"/>
  <c r="AO5" i="4" l="1"/>
  <c r="X5" i="4" s="1"/>
  <c r="AK5" i="4" s="1"/>
  <c r="G5" i="4" s="1"/>
  <c r="E34" i="1" s="1"/>
  <c r="E36" i="1" s="1"/>
  <c r="L20" i="1"/>
  <c r="AB5" i="4" l="1"/>
  <c r="AI5" i="4"/>
  <c r="AJ5" i="4" s="1"/>
  <c r="AL5" i="4" l="1"/>
  <c r="AP5" i="4" s="1"/>
  <c r="F5" i="4"/>
  <c r="L15" i="1" l="1"/>
  <c r="E5" i="4"/>
  <c r="L34" i="1" s="1"/>
  <c r="I5" i="4"/>
  <c r="L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<sst xmlns="http://schemas.openxmlformats.org/spreadsheetml/2006/main" count="602" uniqueCount="286">
  <si>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</si>
  <si>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</si>
  <si>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</si>
  <si>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</si>
  <si>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</si>
  <si>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</si>
  <si>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</si>
  <si>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</si>
  <si>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</si>
  <si>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</si>
  <si>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</si>
  <si>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</si>
  <si>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</si>
  <si>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</si>
  <si>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</si>
  <si>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</si>
  <si>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</si>
  <si>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</si>
  <si>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</si>
  <si>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</si>
  <si>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</si>
  <si>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</si>
  <si>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</si>
  <si>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</si>
  <si>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</si>
  <si>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</si>
  <si>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</si>
  <si>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</si>
  <si>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</si>
  <si>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</si>
  <si>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</si>
  <si>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</si>
  <si>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</si>
  <si>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</si>
  <si>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</si>
  <si>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</si>
  <si>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</si>
  <si>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</si>
  <si>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</si>
  <si>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</si>
  <si>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</si>
  <si>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</si>
  <si>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</si>
  <si>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</si>
  <si>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</si>
  <si>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</si>
  <si>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</si>
  <si>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</si>
  <si>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</si>
  <si>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</si>
  <si>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</si>
  <si>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</si>
  <si>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</si>
  <si>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</si>
  <si>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</si>
  <si>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</si>
  <si>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</si>
  <si>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</si>
  <si>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</si>
  <si>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</si>
  <si>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</si>
  <si>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</si>
  <si>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</si>
  <si>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</si>
  <si>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</si>
  <si>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</si>
  <si>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</si>
  <si>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</si>
  <si>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</si>
  <si>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</si>
  <si>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</si>
  <si>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</si>
  <si>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</si>
  <si>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</si>
  <si>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</si>
  <si>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</si>
  <si>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</si>
  <si>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</si>
  <si>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</si>
  <si>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</si>
  <si>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</si>
  <si>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</si>
  <si>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</si>
  <si>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</si>
  <si>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</si>
  <si>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</si>
  <si>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</si>
  <si>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</si>
  <si>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</si>
  <si>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</si>
  <si>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</si>
  <si>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</si>
  <si>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</si>
  <si>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</si>
  <si>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</si>
  <si>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</si>
  <si>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</si>
  <si>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</si>
  <si>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</si>
  <si>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</si>
  <si>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</si>
  <si>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</si>
  <si>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</si>
  <si>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</si>
  <si>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</si>
  <si>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</si>
  <si>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</si>
  <si>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</si>
  <si>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</si>
  <si>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</si>
  <si>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</si>
  <si>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</si>
  <si>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</si>
  <si>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</si>
  <si>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</si>
  <si>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</si>
  <si>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</si>
  <si>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</si>
  <si>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</si>
  <si>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</si>
  <si>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</si>
  <si>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</si>
  <si>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>Social Reference Pricing (SRP)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</si>
  <si>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</si>
  <si>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</si>
  <si>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</si>
  <si>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</si>
  <si>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</si>
  <si>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</si>
  <si>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</si>
  <si>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</si>
  <si>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</si>
  <si>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</si>
  <si>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</si>
  <si>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</si>
  <si>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</si>
  <si>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</si>
  <si>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</si>
  <si>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</si>
  <si>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</si>
  <si>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</si>
  <si>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</si>
  <si>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</si>
  <si>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</si>
  <si>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</si>
  <si>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</si>
  <si>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</si>
  <si>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</si>
  <si>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</si>
  <si>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</si>
  <si>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</si>
  <si>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</si>
  <si>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</si>
  <si>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</si>
  <si>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</si>
  <si>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</si>
  <si>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</si>
  <si>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</si>
  <si>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</si>
  <si>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</si>
  <si>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</si>
  <si>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</si>
  <si>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</si>
  <si>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</si>
  <si>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</si>
  <si>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</si>
  <si>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</si>
  <si>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</si>
  <si>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</si>
  <si>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</si>
  <si>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</si>
  <si>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</si>
  <si>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</si>
  <si>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</si>
  <si>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</si>
  <si>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</si>
  <si>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</si>
  <si>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</si>
  <si>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</si>
  <si>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</si>
  <si>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</si>
  <si>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</si>
  <si>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</si>
  <si>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</si>
  <si>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</si>
  <si>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</si>
  <si>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</si>
  <si>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</si>
  <si>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</si>
  <si>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</si>
  <si>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</si>
  <si>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</si>
  <si>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</si>
  <si>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</si>
  <si>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</si>
  <si>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</si>
  <si>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</si>
  <si>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</si>
  <si>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</si>
  <si>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</si>
  <si>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</si>
  <si>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</si>
  <si>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</si>
  <si>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</si>
  <si>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</si>
  <si>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</si>
  <si>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Beer Empties Handling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</si>
  <si>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</si>
  <si>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</si>
  <si>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</si>
  <si>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</si>
  <si>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</si>
  <si>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</si>
  <si>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</si>
  <si>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</si>
  <si>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</si>
  <si>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Extra 2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</si>
  <si>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</si>
  <si>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</si>
  <si>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</si>
  <si>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</si>
  <si>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</si>
  <si>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</si>
  <si>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</si>
  <si>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</si>
  <si>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</si>
  <si>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</si>
  <si>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</si>
  <si>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One-Pour Cocktail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</si>
  <si>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</si>
  <si>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</si>
  <si>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</si>
  <si>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</si>
  <si>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</si>
  <si>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</si>
  <si>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</si>
  <si>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</si>
  <si>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</si>
  <si>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</si>
  <si>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</si>
  <si>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</si>
  <si>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</si>
  <si>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</si>
  <si>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</si>
  <si>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</si>
  <si>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</si>
  <si>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</si>
  <si>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</si>
  <si>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</si>
  <si>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</si>
  <si>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</si>
  <si>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</si>
  <si>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Liquor Agents &amp; Suppliers | Doing Business with Us</t>
  </si>
  <si>
    <t>Click:</t>
  </si>
  <si>
    <t>Private_Select</t>
  </si>
  <si>
    <t>MBLL_Select</t>
  </si>
  <si>
    <t>Rates effective:</t>
  </si>
  <si>
    <t>Cost of Service - Admin Micro</t>
  </si>
  <si>
    <t>Qualified Licensee/Vendor Retail                   (before taxes and deposit)</t>
  </si>
  <si>
    <t>Eaches w/ Exchange (GEN)</t>
  </si>
  <si>
    <t>Eaches w/o Exchange (REV)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</si>
  <si>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</si>
  <si>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</si>
  <si>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</si>
  <si>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</si>
  <si>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</si>
  <si>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</si>
  <si>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</si>
  <si>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</si>
  <si>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</si>
  <si>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</si>
  <si>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</si>
  <si>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</si>
  <si>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</si>
  <si>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</si>
  <si>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</si>
  <si>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</si>
  <si>
    <t>GP</t>
  </si>
  <si>
    <t>Package test was USD</t>
  </si>
  <si>
    <t>MBLL Cider</t>
  </si>
  <si>
    <t>Priv Cider</t>
  </si>
  <si>
    <t>From Italy customs</t>
  </si>
  <si>
    <t>Checked EUR</t>
  </si>
  <si>
    <t>AUD and had a COO</t>
  </si>
  <si>
    <t>Fortified Wine &gt;13.7% - 14.9%</t>
  </si>
  <si>
    <t>Fortified Wine &gt;14.9%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</si>
</sst>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.0000"/>
    <numFmt numFmtId="166" formatCode="0.000"/>
    <numFmt numFmtId="167" formatCode="0.000000"/>
    <numFmt numFmtId="168" formatCode="&quot;$&quot;#,##0.00"/>
    <numFmt numFmtId="169" formatCode="0.00000"/>
    <numFmt numFmtId="170" formatCode="[$-1009]mmmm\ d\,\ yyyy;@"/>
    <numFmt numFmtId="171" formatCode="&quot;$&quot;#,##0.0000"/>
    <numFmt numFmtId="172" formatCode="0.0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i/>
      <sz val="10"/>
      <color rgb="FF00000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5" tint="-0.249977111117893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</fonts>
  <fills count="46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0" fillId="0" borderId="0" applyNumberFormat="0" applyFill="0" applyBorder="0" applyAlignment="0" applyProtection="0"/>
  </cellStyleXfs>
  <cellXfs count="321">
    <xf numFmtId="0" fontId="0" fillId="0" borderId="0" xfId="0"/>
    <xf numFmtId="0" fontId="5" fillId="4" borderId="4" xfId="3" applyFont="1" applyFill="1" applyBorder="1"/>
    <xf numFmtId="164" fontId="5" fillId="5" borderId="5" xfId="0" applyNumberFormat="1" applyFont="1" applyFill="1" applyBorder="1"/>
    <xf numFmtId="0" fontId="5" fillId="4" borderId="7" xfId="3" applyFont="1" applyFill="1" applyBorder="1"/>
    <xf numFmtId="164" fontId="5" fillId="5" borderId="8" xfId="0" applyNumberFormat="1" applyFont="1" applyFill="1" applyBorder="1"/>
    <xf numFmtId="0" fontId="5" fillId="4" borderId="10" xfId="3" applyFont="1" applyFill="1" applyBorder="1"/>
    <xf numFmtId="16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3" xfId="0" applyFont="1" applyFill="1" applyBorder="1"/>
    <xf numFmtId="0" fontId="12" fillId="3" borderId="35" xfId="0" applyFont="1" applyFill="1" applyBorder="1"/>
    <xf numFmtId="0" fontId="15" fillId="0" borderId="21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167" fontId="12" fillId="0" borderId="22" xfId="2" applyNumberFormat="1" applyFont="1" applyFill="1" applyBorder="1" applyAlignment="1">
      <alignment horizontal="right"/>
    </xf>
    <xf numFmtId="0" fontId="12" fillId="0" borderId="36" xfId="0" applyFont="1" applyBorder="1"/>
    <xf numFmtId="167" fontId="12" fillId="0" borderId="38" xfId="2" applyNumberFormat="1" applyFont="1" applyFill="1" applyBorder="1" applyAlignment="1">
      <alignment horizontal="right"/>
    </xf>
    <xf numFmtId="0" fontId="12" fillId="3" borderId="33" xfId="0" applyFont="1" applyFill="1" applyBorder="1" applyAlignment="1">
      <alignment horizontal="left"/>
    </xf>
    <xf numFmtId="0" fontId="12" fillId="3" borderId="35" xfId="0" applyFont="1" applyFill="1" applyBorder="1" applyAlignment="1">
      <alignment horizontal="left"/>
    </xf>
    <xf numFmtId="0" fontId="15" fillId="0" borderId="22" xfId="0" applyFont="1" applyBorder="1" applyAlignment="1">
      <alignment horizontal="right" wrapText="1"/>
    </xf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3" fillId="17" borderId="41" xfId="0" applyFont="1" applyFill="1" applyBorder="1"/>
    <xf numFmtId="0" fontId="23" fillId="17" borderId="0" xfId="0" applyFont="1" applyFill="1"/>
    <xf numFmtId="0" fontId="23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2" fillId="7" borderId="34" xfId="0" applyFont="1" applyFill="1" applyBorder="1" applyAlignment="1"/>
    <xf numFmtId="0" fontId="22" fillId="7" borderId="35" xfId="0" applyFont="1" applyFill="1" applyBorder="1" applyAlignment="1"/>
    <xf numFmtId="0" fontId="24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9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2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3" fillId="6" borderId="36" xfId="0" applyFont="1" applyFill="1" applyBorder="1" applyAlignment="1"/>
    <xf numFmtId="0" fontId="33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2" fontId="0" fillId="9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8" fontId="0" fillId="36" borderId="0" xfId="0" applyNumberFormat="1" applyFill="1" applyAlignment="1">
      <alignment horizontal="center"/>
    </xf>
    <xf numFmtId="166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 applyProtection="1">
      <alignment horizontal="center" vertical="center"/>
      <protection locked="0"/>
    </xf>
    <xf numFmtId="0" fontId="21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9" fillId="13" borderId="14" xfId="0" applyFont="1" applyFill="1" applyBorder="1" applyAlignment="1" applyProtection="1">
      <alignment horizontal="center" vertical="center"/>
      <protection locked="0"/>
    </xf>
    <xf numFmtId="168" fontId="19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30" fillId="16" borderId="0" xfId="0" applyFont="1" applyFill="1" applyBorder="1" applyProtection="1">
      <protection hidden="1"/>
    </xf>
    <xf numFmtId="165" fontId="31" fillId="16" borderId="0" xfId="0" applyNumberFormat="1" applyFont="1" applyFill="1" applyBorder="1" applyProtection="1">
      <protection hidden="1"/>
    </xf>
    <xf numFmtId="165" fontId="31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8" fillId="18" borderId="1" xfId="0" applyFont="1" applyFill="1" applyBorder="1" applyAlignment="1" applyProtection="1">
      <alignment horizontal="center" vertical="center" wrapText="1"/>
      <protection hidden="1"/>
    </xf>
    <xf numFmtId="168" fontId="28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20" borderId="1" xfId="0" applyFont="1" applyFill="1" applyBorder="1" applyAlignment="1" applyProtection="1">
      <alignment horizontal="center" vertical="center" wrapText="1"/>
      <protection hidden="1"/>
    </xf>
    <xf numFmtId="168" fontId="29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9" fontId="5" fillId="4" borderId="3" xfId="3" applyNumberFormat="1" applyFont="1" applyFill="1" applyBorder="1"/>
    <xf numFmtId="169" fontId="5" fillId="4" borderId="6" xfId="3" applyNumberFormat="1" applyFont="1" applyFill="1" applyBorder="1"/>
    <xf numFmtId="169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4" fillId="14" borderId="13" xfId="0" applyFont="1" applyFill="1" applyBorder="1" applyAlignment="1">
      <alignment horizontal="center" vertical="center" wrapText="1"/>
    </xf>
    <xf numFmtId="0" fontId="34" fillId="14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 wrapText="1"/>
    </xf>
    <xf numFmtId="0" fontId="34" fillId="20" borderId="13" xfId="0" applyFont="1" applyFill="1" applyBorder="1" applyAlignment="1">
      <alignment horizontal="center" vertical="center" wrapText="1"/>
    </xf>
    <xf numFmtId="0" fontId="34" fillId="33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4" fillId="18" borderId="13" xfId="0" applyFont="1" applyFill="1" applyBorder="1" applyAlignment="1">
      <alignment horizontal="center" vertical="center" wrapText="1"/>
    </xf>
    <xf numFmtId="0" fontId="34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4" fillId="43" borderId="13" xfId="0" applyFont="1" applyFill="1" applyBorder="1" applyAlignment="1">
      <alignment horizontal="center" vertical="center" wrapText="1"/>
    </xf>
    <xf numFmtId="2" fontId="0" fillId="40" borderId="13" xfId="0" applyNumberFormat="1" applyFill="1" applyBorder="1" applyAlignment="1">
      <alignment horizontal="center"/>
    </xf>
    <xf numFmtId="2" fontId="0" fillId="41" borderId="13" xfId="0" applyNumberFormat="1" applyFill="1" applyBorder="1" applyAlignment="1">
      <alignment horizontal="center"/>
    </xf>
    <xf numFmtId="168" fontId="31" fillId="12" borderId="0" xfId="0" applyNumberFormat="1" applyFont="1" applyFill="1" applyBorder="1" applyAlignment="1" applyProtection="1">
      <alignment horizontal="center"/>
      <protection hidden="1"/>
    </xf>
    <xf numFmtId="0" fontId="38" fillId="16" borderId="14" xfId="0" applyFont="1" applyFill="1" applyBorder="1" applyProtection="1">
      <protection hidden="1"/>
    </xf>
    <xf numFmtId="0" fontId="42" fillId="27" borderId="0" xfId="0" applyFont="1" applyFill="1" applyBorder="1" applyAlignment="1" applyProtection="1">
      <alignment horizontal="left" indent="3"/>
      <protection hidden="1"/>
    </xf>
    <xf numFmtId="0" fontId="21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1" fillId="27" borderId="0" xfId="0" applyFont="1" applyFill="1" applyBorder="1" applyAlignment="1" applyProtection="1">
      <alignment horizontal="center" vertical="center"/>
      <protection hidden="1"/>
    </xf>
    <xf numFmtId="0" fontId="21" fillId="27" borderId="0" xfId="0" applyFont="1" applyFill="1" applyBorder="1" applyAlignment="1" applyProtection="1">
      <alignment horizontal="center" vertical="center"/>
      <protection locked="0" hidden="1"/>
    </xf>
    <xf numFmtId="10" fontId="21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1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9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6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20" fillId="0" borderId="8" xfId="0" applyFont="1" applyFill="1" applyBorder="1" applyAlignment="1" applyProtection="1">
      <protection hidden="1"/>
    </xf>
    <xf numFmtId="170" fontId="43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5" fillId="27" borderId="0" xfId="0" applyFont="1" applyFill="1" applyAlignment="1" applyProtection="1">
      <alignment horizontal="left" indent="3"/>
      <protection hidden="1"/>
    </xf>
    <xf numFmtId="0" fontId="36" fillId="14" borderId="58" xfId="0" applyFont="1" applyFill="1" applyBorder="1" applyAlignment="1" applyProtection="1">
      <alignment vertical="center" wrapText="1"/>
      <protection hidden="1"/>
    </xf>
    <xf numFmtId="168" fontId="37" fillId="9" borderId="59" xfId="0" applyNumberFormat="1" applyFont="1" applyFill="1" applyBorder="1" applyAlignment="1" applyProtection="1">
      <alignment horizontal="center" vertical="center" wrapText="1"/>
      <protection hidden="1"/>
    </xf>
    <xf numFmtId="168" fontId="18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4" fillId="44" borderId="58" xfId="0" applyFont="1" applyFill="1" applyBorder="1" applyAlignment="1" applyProtection="1">
      <alignment horizontal="center" vertical="center" wrapText="1"/>
      <protection hidden="1"/>
    </xf>
    <xf numFmtId="171" fontId="30" fillId="27" borderId="0" xfId="0" applyNumberFormat="1" applyFont="1" applyFill="1" applyBorder="1" applyAlignment="1" applyProtection="1">
      <alignment horizontal="center" vertical="center"/>
      <protection locked="0"/>
    </xf>
    <xf numFmtId="2" fontId="45" fillId="0" borderId="22" xfId="0" applyNumberFormat="1" applyFont="1" applyBorder="1" applyAlignment="1">
      <alignment horizontal="center"/>
    </xf>
    <xf numFmtId="2" fontId="45" fillId="0" borderId="22" xfId="0" applyNumberFormat="1" applyFont="1" applyBorder="1"/>
    <xf numFmtId="172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6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0" fillId="0" borderId="39" xfId="0" applyFont="1" applyFill="1" applyBorder="1" applyAlignment="1"/>
    <xf numFmtId="0" fontId="41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8" fillId="11" borderId="4" xfId="0" applyFont="1" applyFill="1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8" fillId="11" borderId="5" xfId="0" applyFont="1" applyFill="1" applyBorder="1" applyAlignment="1">
      <alignment horizontal="center"/>
    </xf>
    <xf numFmtId="0" fontId="19" fillId="23" borderId="10" xfId="0" applyFont="1" applyFill="1" applyBorder="1" applyAlignment="1" applyProtection="1">
      <alignment horizontal="center" vertical="center"/>
      <protection locked="0"/>
    </xf>
    <xf numFmtId="0" fontId="19" fillId="23" borderId="11" xfId="0" applyFont="1" applyFill="1" applyBorder="1" applyAlignment="1" applyProtection="1">
      <alignment horizontal="center" vertical="center"/>
      <protection locked="0"/>
    </xf>
    <xf numFmtId="0" fontId="18" fillId="13" borderId="4" xfId="0" applyFont="1" applyFill="1" applyBorder="1" applyAlignment="1">
      <alignment horizontal="center"/>
    </xf>
    <xf numFmtId="0" fontId="18" fillId="13" borderId="12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25" fillId="20" borderId="0" xfId="0" applyFont="1" applyFill="1" applyAlignment="1" applyProtection="1">
      <alignment horizontal="center"/>
      <protection hidden="1"/>
    </xf>
    <xf numFmtId="0" fontId="26" fillId="20" borderId="0" xfId="0" applyFont="1" applyFill="1" applyAlignment="1" applyProtection="1">
      <alignment horizontal="center" vertical="center"/>
      <protection hidden="1"/>
    </xf>
    <xf numFmtId="0" fontId="27" fillId="20" borderId="0" xfId="0" applyFont="1" applyFill="1" applyAlignment="1" applyProtection="1">
      <alignment horizontal="center"/>
      <protection hidden="1"/>
    </xf>
    <xf numFmtId="0" fontId="17" fillId="12" borderId="43" xfId="0" applyFont="1" applyFill="1" applyBorder="1" applyAlignment="1" applyProtection="1">
      <alignment horizontal="center"/>
      <protection hidden="1"/>
    </xf>
    <xf numFmtId="0" fontId="17" fillId="12" borderId="44" xfId="0" applyFont="1" applyFill="1" applyBorder="1" applyAlignment="1" applyProtection="1">
      <alignment horizontal="center"/>
      <protection hidden="1"/>
    </xf>
    <xf numFmtId="0" fontId="20" fillId="15" borderId="14" xfId="0" applyFont="1" applyFill="1" applyBorder="1" applyAlignment="1" applyProtection="1">
      <alignment horizontal="center"/>
      <protection hidden="1"/>
    </xf>
    <xf numFmtId="0" fontId="20" fillId="15" borderId="15" xfId="0" applyFont="1" applyFill="1" applyBorder="1" applyAlignment="1" applyProtection="1">
      <alignment horizontal="center"/>
      <protection hidden="1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2" fillId="15" borderId="14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*One-Pour Cocktail </a:t>
          </a:r>
          <a:r>
            <a:rPr lang="en-CA" sz="1000" baseline="0">
              <a:solidFill>
                <a:schemeClr val="bg1"/>
              </a:solidFill>
              <a:effectLst/>
            </a:rPr>
            <a:t>- Ready to Drink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mbllpartners.ca/liquor-partners/liquor-agents-suppli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Normal="10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AA1" s="98"/>
    </row>
    <row r="2" spans="1:27" ht="32.5" x14ac:dyDescent="0.75">
      <c r="A2" s="98"/>
      <c r="B2" s="287" t="s">
        <v>119</v>
      </c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98"/>
      <c r="AA2" s="98"/>
    </row>
    <row r="3" spans="1:27" ht="29.5" x14ac:dyDescent="0.35">
      <c r="A3" s="98"/>
      <c r="B3" s="288" t="s">
        <v>8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98"/>
      <c r="AA3" s="98"/>
    </row>
    <row r="4" spans="1:27" ht="26" x14ac:dyDescent="0.6">
      <c r="A4" s="98"/>
      <c r="B4" s="289" t="s">
        <v>9</v>
      </c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98"/>
      <c r="AA4" s="98"/>
    </row>
    <row r="5" spans="1:27" ht="12" customHeight="1" thickBot="1" x14ac:dyDescent="0.65">
      <c r="A5" s="98"/>
      <c r="B5" s="186"/>
      <c r="C5" s="234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98"/>
      <c r="AA5" s="98"/>
    </row>
    <row r="6" spans="1:27" ht="15" thickBot="1" x14ac:dyDescent="0.4">
      <c r="A6" s="98"/>
      <c r="B6" s="235"/>
      <c r="C6" s="236"/>
      <c r="D6" s="236"/>
      <c r="E6" s="236"/>
      <c r="F6" s="236"/>
      <c r="G6" s="237"/>
      <c r="H6" s="186"/>
      <c r="I6" s="235"/>
      <c r="J6" s="236"/>
      <c r="K6" s="236"/>
      <c r="L6" s="236"/>
      <c r="M6" s="236"/>
      <c r="N6" s="237"/>
      <c r="O6" s="98"/>
      <c r="AA6" s="98"/>
    </row>
    <row r="7" spans="1:27" ht="15" thickBot="1" x14ac:dyDescent="0.4">
      <c r="A7" s="98"/>
      <c r="B7" s="187"/>
      <c r="C7" s="238"/>
      <c r="D7" s="239"/>
      <c r="E7" s="239"/>
      <c r="F7" s="240"/>
      <c r="G7" s="185"/>
      <c r="H7" s="186"/>
      <c r="I7" s="187"/>
      <c r="J7" s="241"/>
      <c r="K7" s="242"/>
      <c r="L7" s="242"/>
      <c r="M7" s="243"/>
      <c r="N7" s="185"/>
      <c r="O7" s="98"/>
      <c r="AA7" s="98"/>
    </row>
    <row r="8" spans="1:27" ht="18.5" x14ac:dyDescent="0.45">
      <c r="A8" s="98"/>
      <c r="B8" s="187"/>
      <c r="C8" s="244"/>
      <c r="D8" s="290" t="s">
        <v>149</v>
      </c>
      <c r="E8" s="291"/>
      <c r="F8" s="245"/>
      <c r="G8" s="185"/>
      <c r="H8" s="186"/>
      <c r="I8" s="187"/>
      <c r="J8" s="246"/>
      <c r="K8" s="292" t="s">
        <v>150</v>
      </c>
      <c r="L8" s="293"/>
      <c r="M8" s="247"/>
      <c r="N8" s="185"/>
      <c r="O8" s="98"/>
      <c r="AA8" s="98"/>
    </row>
    <row r="9" spans="1:27" ht="25.5" customHeight="1" thickBot="1" x14ac:dyDescent="0.5">
      <c r="A9" s="98"/>
      <c r="B9" s="99"/>
      <c r="C9" s="93"/>
      <c r="D9" s="282"/>
      <c r="E9" s="283"/>
      <c r="F9" s="94"/>
      <c r="G9" s="101"/>
      <c r="H9" s="98"/>
      <c r="I9" s="99"/>
      <c r="J9" s="88"/>
      <c r="K9" s="175"/>
      <c r="L9" s="176"/>
      <c r="M9" s="92"/>
      <c r="N9" s="101"/>
      <c r="O9" s="98"/>
      <c r="AA9" s="98"/>
    </row>
    <row r="10" spans="1:27" ht="15" thickBot="1" x14ac:dyDescent="0.4">
      <c r="A10" s="98"/>
      <c r="B10" s="99"/>
      <c r="C10" s="95"/>
      <c r="D10" s="96"/>
      <c r="E10" s="96"/>
      <c r="F10" s="97"/>
      <c r="G10" s="101"/>
      <c r="H10" s="98"/>
      <c r="I10" s="99"/>
      <c r="J10" s="89"/>
      <c r="K10" s="90"/>
      <c r="L10" s="90"/>
      <c r="M10" s="91"/>
      <c r="N10" s="101"/>
      <c r="O10" s="98"/>
      <c r="AA10" s="98"/>
    </row>
    <row r="11" spans="1:27" ht="15" thickBot="1" x14ac:dyDescent="0.4">
      <c r="A11" s="98"/>
      <c r="B11" s="99"/>
      <c r="C11" s="100"/>
      <c r="D11" s="100"/>
      <c r="E11" s="100"/>
      <c r="F11" s="100"/>
      <c r="G11" s="101"/>
      <c r="H11" s="98"/>
      <c r="I11" s="99"/>
      <c r="J11" s="100"/>
      <c r="K11" s="100"/>
      <c r="L11" s="100"/>
      <c r="M11" s="100"/>
      <c r="N11" s="101"/>
      <c r="O11" s="98"/>
      <c r="AA11" s="98"/>
    </row>
    <row r="12" spans="1:27" ht="18.5" x14ac:dyDescent="0.45">
      <c r="A12" s="98"/>
      <c r="B12" s="99"/>
      <c r="C12" s="279" t="s">
        <v>120</v>
      </c>
      <c r="D12" s="280"/>
      <c r="E12" s="280"/>
      <c r="F12" s="281"/>
      <c r="G12" s="101"/>
      <c r="H12" s="98"/>
      <c r="I12" s="99"/>
      <c r="J12" s="284" t="s">
        <v>121</v>
      </c>
      <c r="K12" s="285"/>
      <c r="L12" s="285"/>
      <c r="M12" s="286"/>
      <c r="N12" s="101"/>
      <c r="O12" s="98"/>
      <c r="AA12" s="98"/>
    </row>
    <row r="13" spans="1:27" x14ac:dyDescent="0.35">
      <c r="A13" s="98"/>
      <c r="B13" s="99"/>
      <c r="C13" s="105"/>
      <c r="D13" s="174"/>
      <c r="E13" s="106"/>
      <c r="F13" s="107"/>
      <c r="G13" s="101"/>
      <c r="H13" s="98"/>
      <c r="I13" s="99"/>
      <c r="J13" s="177"/>
      <c r="K13" s="164"/>
      <c r="L13" s="164"/>
      <c r="M13" s="178"/>
      <c r="N13" s="185"/>
      <c r="O13" s="186"/>
      <c r="AA13" s="98"/>
    </row>
    <row r="14" spans="1:27" x14ac:dyDescent="0.35">
      <c r="A14" s="98"/>
      <c r="B14" s="99"/>
      <c r="C14" s="105"/>
      <c r="D14" s="171" t="s">
        <v>0</v>
      </c>
      <c r="E14" s="170"/>
      <c r="F14" s="107"/>
      <c r="G14" s="101"/>
      <c r="H14" s="98"/>
      <c r="I14" s="99"/>
      <c r="J14" s="177"/>
      <c r="K14" s="179" t="str">
        <f>IF(D9="","",IF(E29="","",IF(D9="PRIVATE DISTRIBUTION","",IF(AND(D9="MBLL DISTRIBUTION",E29="CAD"),"","Base Unit Price - "&amp;E29))))</f>
        <v/>
      </c>
      <c r="L14" s="180" t="str">
        <f>IFERROR(ROUND(IF(D9="","",IF(OR(E29="",E29="CAD"),"",Calculations!F5)),4),"")</f>
        <v/>
      </c>
      <c r="M14" s="178"/>
      <c r="N14" s="185"/>
      <c r="O14" s="186"/>
      <c r="AA14" s="98"/>
    </row>
    <row r="15" spans="1:27" x14ac:dyDescent="0.35">
      <c r="A15" s="98"/>
      <c r="B15" s="99"/>
      <c r="C15" s="105"/>
      <c r="D15" s="172" t="s">
        <v>1</v>
      </c>
      <c r="E15" s="170"/>
      <c r="F15" s="107"/>
      <c r="G15" s="101"/>
      <c r="H15" s="98"/>
      <c r="I15" s="99"/>
      <c r="J15" s="177"/>
      <c r="K15" s="179" t="str">
        <f>IF(D9="","","Base Unit Price - CAD")</f>
        <v/>
      </c>
      <c r="L15" s="180" t="str">
        <f>IFERROR(IF(E14="","",SUM(Calculations!F5*Calculations!H5,0)),"")</f>
        <v/>
      </c>
      <c r="M15" s="178"/>
      <c r="N15" s="185"/>
      <c r="O15" s="186"/>
      <c r="AA15" s="98"/>
    </row>
    <row r="16" spans="1:27" x14ac:dyDescent="0.35">
      <c r="A16" s="98"/>
      <c r="B16" s="99"/>
      <c r="C16" s="105"/>
      <c r="D16" s="171" t="s">
        <v>2</v>
      </c>
      <c r="E16" s="170"/>
      <c r="F16" s="107"/>
      <c r="G16" s="101"/>
      <c r="H16" s="98"/>
      <c r="I16" s="99"/>
      <c r="J16" s="177"/>
      <c r="K16" s="179" t="str">
        <f>IF(D9="MBLL DISTRIBUTION","Standard Freight rate/litre","")</f>
        <v/>
      </c>
      <c r="L16" s="181" t="str">
        <f>IFERROR(IF(D9="PRIVATE Distribution","",Calculations!T5),"")</f>
        <v/>
      </c>
      <c r="M16" s="178"/>
      <c r="N16" s="185"/>
      <c r="O16" s="186"/>
      <c r="AA16" s="98"/>
    </row>
    <row r="17" spans="1:27" x14ac:dyDescent="0.35">
      <c r="A17" s="98"/>
      <c r="B17" s="99"/>
      <c r="C17" s="105"/>
      <c r="D17" s="171" t="str">
        <f>IF(OR(D9="",D9="PRIVATE Distribution"),"","Certificate of Origin")</f>
        <v/>
      </c>
      <c r="E17" s="169"/>
      <c r="F17" s="107"/>
      <c r="G17" s="101"/>
      <c r="H17" s="98"/>
      <c r="I17" s="99"/>
      <c r="J17" s="177"/>
      <c r="K17" s="179" t="str">
        <f>IF(D9="MBLL DISTRIBUTION","Excise Duty","")</f>
        <v/>
      </c>
      <c r="L17" s="180" t="str">
        <f>IF(D9="PRIVATE Distribution","",Calculations!V5)</f>
        <v/>
      </c>
      <c r="M17" s="178"/>
      <c r="N17" s="185"/>
      <c r="O17" s="186"/>
      <c r="AA17" s="98"/>
    </row>
    <row r="18" spans="1:27" x14ac:dyDescent="0.35">
      <c r="A18" s="98"/>
      <c r="B18" s="99"/>
      <c r="C18" s="105"/>
      <c r="D18" s="171" t="str">
        <f>IF(D9="MBLL Distribution","Is this a Gift Pack?","")</f>
        <v/>
      </c>
      <c r="E18" s="169"/>
      <c r="F18" s="107"/>
      <c r="G18" s="101"/>
      <c r="H18" s="98"/>
      <c r="I18" s="99"/>
      <c r="J18" s="177"/>
      <c r="K18" s="179" t="str">
        <f>IF(AND(D9="MBLL DISTRIBUTION",E28="Customs"),"Customs Duty","")</f>
        <v/>
      </c>
      <c r="L18" s="180" t="str">
        <f>IF(OR(E26="",E26="Canada"),"",Calculations!U5)</f>
        <v/>
      </c>
      <c r="M18" s="178"/>
      <c r="N18" s="185"/>
      <c r="O18" s="186"/>
      <c r="AA18" s="98"/>
    </row>
    <row r="19" spans="1:27" x14ac:dyDescent="0.35">
      <c r="A19" s="98"/>
      <c r="B19" s="99"/>
      <c r="C19" s="105"/>
      <c r="D19" s="221" t="str">
        <f>IF(D18="","","**(Yes only if products have gift components)**")</f>
        <v/>
      </c>
      <c r="E19" s="225"/>
      <c r="F19" s="107"/>
      <c r="G19" s="101"/>
      <c r="H19" s="98"/>
      <c r="I19" s="99"/>
      <c r="J19" s="177"/>
      <c r="K19" s="179"/>
      <c r="L19" s="180"/>
      <c r="M19" s="178"/>
      <c r="N19" s="185"/>
      <c r="O19" s="186"/>
      <c r="AA19" s="98"/>
    </row>
    <row r="20" spans="1:27" x14ac:dyDescent="0.35">
      <c r="A20" s="98"/>
      <c r="B20" s="99"/>
      <c r="C20" s="105"/>
      <c r="D20" s="171" t="s">
        <v>3</v>
      </c>
      <c r="E20" s="167"/>
      <c r="F20" s="107"/>
      <c r="G20" s="101"/>
      <c r="H20" s="98"/>
      <c r="I20" s="99"/>
      <c r="J20" s="177"/>
      <c r="K20" s="179" t="str">
        <f>IF(D9="","","Markup")</f>
        <v/>
      </c>
      <c r="L20" s="180" t="str">
        <f>IFERROR(IF(E14="","",Calculations!AD5),"")</f>
        <v/>
      </c>
      <c r="M20" s="178"/>
      <c r="N20" s="185"/>
      <c r="O20" s="186"/>
      <c r="AA20" s="98"/>
    </row>
    <row r="21" spans="1:27" x14ac:dyDescent="0.35">
      <c r="A21" s="98"/>
      <c r="B21" s="99"/>
      <c r="C21" s="105"/>
      <c r="D21" s="171" t="s">
        <v>4</v>
      </c>
      <c r="E21" s="168"/>
      <c r="F21" s="107"/>
      <c r="G21" s="101"/>
      <c r="H21" s="98"/>
      <c r="I21" s="99"/>
      <c r="J21" s="177"/>
      <c r="K21" s="179" t="str">
        <f>IF(D9="","","Cost of Service - System Admin Fee")</f>
        <v/>
      </c>
      <c r="L21" s="180" t="str">
        <f>IFERROR(IF(E14="","",Calculations!AE5),"")</f>
        <v/>
      </c>
      <c r="M21" s="178"/>
      <c r="N21" s="185"/>
      <c r="O21" s="186"/>
      <c r="AA21" s="98"/>
    </row>
    <row r="22" spans="1:27" x14ac:dyDescent="0.35">
      <c r="A22" s="98"/>
      <c r="B22" s="99"/>
      <c r="C22" s="105"/>
      <c r="D22" s="173" t="str">
        <f>IF(E21&gt;1,"Total selling volume/liter","")</f>
        <v/>
      </c>
      <c r="E22" s="222" t="str">
        <f>IF(E21&gt;1,E20*E21,"")</f>
        <v/>
      </c>
      <c r="F22" s="107"/>
      <c r="G22" s="101"/>
      <c r="H22" s="98"/>
      <c r="I22" s="99"/>
      <c r="J22" s="177"/>
      <c r="K22" s="179" t="str">
        <f>IF(D9="MBLL DISTRIBUTION","Cost of Service - Warehouse Fee","")</f>
        <v/>
      </c>
      <c r="L22" s="180" t="str">
        <f>IFERROR(IF(D9="MBLL Distribution",Calculations!AF5,""),"")</f>
        <v/>
      </c>
      <c r="M22" s="178"/>
      <c r="N22" s="185"/>
      <c r="O22" s="186"/>
      <c r="AA22" s="98"/>
    </row>
    <row r="23" spans="1:27" x14ac:dyDescent="0.35">
      <c r="A23" s="98"/>
      <c r="B23" s="99"/>
      <c r="C23" s="105"/>
      <c r="D23" s="171" t="str">
        <f>IF(D9="MBLL Distribution","Selling Units per Case (Case Size)","")</f>
        <v/>
      </c>
      <c r="E23" s="226"/>
      <c r="F23" s="107"/>
      <c r="G23" s="101"/>
      <c r="H23" s="98"/>
      <c r="I23" s="99"/>
      <c r="J23" s="177"/>
      <c r="K23" s="179" t="str">
        <f>IF(E14="Beer","Empties Handling Fee","")</f>
        <v/>
      </c>
      <c r="L23" s="180" t="str">
        <f>IF(E14="Beer",Calculations!Z5,"")</f>
        <v/>
      </c>
      <c r="M23" s="178"/>
      <c r="N23" s="185"/>
      <c r="O23" s="186"/>
      <c r="AA23" s="98"/>
    </row>
    <row r="24" spans="1:27" x14ac:dyDescent="0.35">
      <c r="A24" s="98"/>
      <c r="B24" s="99"/>
      <c r="C24" s="105"/>
      <c r="D24" s="223" t="str">
        <f>IF(E14="Beer","Container Type","")</f>
        <v/>
      </c>
      <c r="E24" s="226"/>
      <c r="F24" s="107"/>
      <c r="G24" s="101"/>
      <c r="H24" s="98"/>
      <c r="I24" s="99"/>
      <c r="J24" s="177"/>
      <c r="K24" s="179" t="str">
        <f>IF(E18="YES","Add-on Cost per unit","")</f>
        <v/>
      </c>
      <c r="L24" s="180" t="str">
        <f>IF(E31="","",IF(E18="YES",ROUND(E31,4),""))</f>
        <v/>
      </c>
      <c r="M24" s="178"/>
      <c r="N24" s="185"/>
      <c r="O24" s="186"/>
      <c r="AA24" s="98"/>
    </row>
    <row r="25" spans="1:27" x14ac:dyDescent="0.35">
      <c r="A25" s="98"/>
      <c r="B25" s="99"/>
      <c r="C25" s="105"/>
      <c r="D25" s="171" t="s">
        <v>5</v>
      </c>
      <c r="E25" s="227"/>
      <c r="F25" s="107"/>
      <c r="G25" s="101"/>
      <c r="H25" s="98"/>
      <c r="I25" s="99"/>
      <c r="J25" s="177"/>
      <c r="K25" s="179" t="str">
        <f>IF(E18="YES","Total Add-on Cost per Case","")</f>
        <v/>
      </c>
      <c r="L25" s="180" t="str">
        <f>IF(E31="","",IF(E18="YES",ROUND(SUM(L24*E23),4),""))</f>
        <v/>
      </c>
      <c r="M25" s="178"/>
      <c r="N25" s="185"/>
      <c r="O25" s="186"/>
      <c r="AA25" s="98"/>
    </row>
    <row r="26" spans="1:27" x14ac:dyDescent="0.35">
      <c r="A26" s="98"/>
      <c r="B26" s="99"/>
      <c r="C26" s="105"/>
      <c r="D26" s="171" t="str">
        <f>IF(D9="MBLL Distribution","Product Shipping Location","")</f>
        <v/>
      </c>
      <c r="E26" s="226"/>
      <c r="F26" s="107"/>
      <c r="G26" s="101"/>
      <c r="H26" s="98"/>
      <c r="I26" s="99"/>
      <c r="J26" s="177"/>
      <c r="K26" s="179"/>
      <c r="L26" s="164"/>
      <c r="M26" s="178"/>
      <c r="N26" s="185"/>
      <c r="O26" s="186"/>
      <c r="AA26" s="98"/>
    </row>
    <row r="27" spans="1:27" x14ac:dyDescent="0.35">
      <c r="A27" s="98"/>
      <c r="B27" s="99"/>
      <c r="C27" s="105"/>
      <c r="D27" s="173" t="str">
        <f>IF(D9="MBLL Distribution","Freight Zone","")</f>
        <v/>
      </c>
      <c r="E27" s="226"/>
      <c r="F27" s="107"/>
      <c r="G27" s="101"/>
      <c r="H27" s="98"/>
      <c r="I27" s="99"/>
      <c r="J27" s="177"/>
      <c r="K27" s="179"/>
      <c r="L27" s="164"/>
      <c r="M27" s="178"/>
      <c r="N27" s="185"/>
      <c r="O27" s="186"/>
      <c r="AA27" s="98"/>
    </row>
    <row r="28" spans="1:27" x14ac:dyDescent="0.35">
      <c r="A28" s="98"/>
      <c r="B28" s="99"/>
      <c r="C28" s="105"/>
      <c r="D28" s="171" t="s">
        <v>6</v>
      </c>
      <c r="E28" s="228"/>
      <c r="F28" s="107"/>
      <c r="G28" s="101"/>
      <c r="H28" s="98"/>
      <c r="I28" s="99"/>
      <c r="J28" s="177"/>
      <c r="K28" s="179"/>
      <c r="L28" s="164"/>
      <c r="M28" s="178"/>
      <c r="N28" s="185"/>
      <c r="O28" s="186"/>
      <c r="AA28" s="98"/>
    </row>
    <row r="29" spans="1:27" x14ac:dyDescent="0.35">
      <c r="A29" s="98"/>
      <c r="B29" s="99"/>
      <c r="C29" s="105"/>
      <c r="D29" s="171" t="s">
        <v>7</v>
      </c>
      <c r="E29" s="228"/>
      <c r="F29" s="107"/>
      <c r="G29" s="101"/>
      <c r="H29" s="98"/>
      <c r="I29" s="99"/>
      <c r="J29" s="177"/>
      <c r="K29" s="262"/>
      <c r="L29" s="262"/>
      <c r="M29" s="178"/>
      <c r="N29" s="185"/>
      <c r="O29" s="186"/>
      <c r="AA29" s="98"/>
    </row>
    <row r="30" spans="1:27" x14ac:dyDescent="0.35">
      <c r="A30" s="98"/>
      <c r="B30" s="99"/>
      <c r="C30" s="105"/>
      <c r="D30" s="174"/>
      <c r="E30" s="109"/>
      <c r="F30" s="107"/>
      <c r="G30" s="101"/>
      <c r="H30" s="98"/>
      <c r="I30" s="99"/>
      <c r="J30" s="276"/>
      <c r="K30" s="277"/>
      <c r="L30" s="277"/>
      <c r="M30" s="278"/>
      <c r="N30" s="185"/>
      <c r="O30" s="186"/>
      <c r="AA30" s="98"/>
    </row>
    <row r="31" spans="1:27" ht="16" x14ac:dyDescent="0.4">
      <c r="A31" s="98"/>
      <c r="B31" s="99"/>
      <c r="C31" s="105"/>
      <c r="D31" s="258" t="str">
        <f>IF(E18="YES","Total Add-on Cost per UNIT","")</f>
        <v/>
      </c>
      <c r="E31" s="264"/>
      <c r="F31" s="107"/>
      <c r="G31" s="101"/>
      <c r="H31" s="98"/>
      <c r="I31" s="99"/>
      <c r="J31" s="182"/>
      <c r="K31" s="183"/>
      <c r="L31" s="183"/>
      <c r="M31" s="184"/>
      <c r="N31" s="185"/>
      <c r="O31" s="186"/>
      <c r="AA31" s="98"/>
    </row>
    <row r="32" spans="1:27" x14ac:dyDescent="0.35">
      <c r="A32" s="98"/>
      <c r="B32" s="99"/>
      <c r="C32" s="110"/>
      <c r="D32" s="224"/>
      <c r="E32" s="111"/>
      <c r="F32" s="108"/>
      <c r="G32" s="101"/>
      <c r="H32" s="98"/>
      <c r="I32" s="99"/>
      <c r="J32" s="182"/>
      <c r="K32" s="198" t="str">
        <f>IF(E18="YES","Case Cost (Before Add-on Cost)","")</f>
        <v/>
      </c>
      <c r="L32" s="219" t="str">
        <f>IF(E18="YES",Calculations!E5,"")</f>
        <v/>
      </c>
      <c r="M32" s="184"/>
      <c r="N32" s="185"/>
      <c r="O32" s="186"/>
      <c r="AA32" s="98"/>
    </row>
    <row r="33" spans="1:27" ht="15" thickBot="1" x14ac:dyDescent="0.4">
      <c r="A33" s="98"/>
      <c r="B33" s="99"/>
      <c r="C33" s="182"/>
      <c r="D33" s="183"/>
      <c r="E33" s="183"/>
      <c r="F33" s="184"/>
      <c r="G33" s="185"/>
      <c r="H33" s="186"/>
      <c r="I33" s="187"/>
      <c r="J33" s="182"/>
      <c r="K33" s="183"/>
      <c r="L33" s="183"/>
      <c r="M33" s="184"/>
      <c r="N33" s="185"/>
      <c r="O33" s="186"/>
      <c r="AA33" s="98"/>
    </row>
    <row r="34" spans="1:27" ht="35" customHeight="1" thickBot="1" x14ac:dyDescent="0.4">
      <c r="A34" s="98"/>
      <c r="B34" s="99"/>
      <c r="C34" s="182"/>
      <c r="D34" s="188" t="s">
        <v>244</v>
      </c>
      <c r="E34" s="189">
        <f>IFERROR(IF(D9="",0,Calculations!G5),"")</f>
        <v>0</v>
      </c>
      <c r="F34" s="184"/>
      <c r="G34" s="185"/>
      <c r="H34" s="186"/>
      <c r="I34" s="187"/>
      <c r="J34" s="182"/>
      <c r="K34" s="190" t="str">
        <f>IF(D9="","",IF(AND(D9="MBLL Distribution",E18="Yes"),"Final Case Cost",IF(AND(D9="MBLL DISTRIBUTION",OR(E18="No",E18="")),"Case Cost",IF(D9="PRIVATE Distribution","Gross Price to Brewer",""))))</f>
        <v/>
      </c>
      <c r="L34" s="191" t="str">
        <f>IF(E14="","",IF(AND(D9="MBLL Distribution",E18="Yes"),Calculations!AP5,IF(AND(D9="MBLL Distribution",E18="No"),Calculations!E5,IF(D9="Private Distribution",Calculations!F5,0))))</f>
        <v/>
      </c>
      <c r="M34" s="184"/>
      <c r="N34" s="185"/>
      <c r="O34" s="186"/>
      <c r="AA34" s="98"/>
    </row>
    <row r="35" spans="1:27" ht="15" thickBot="1" x14ac:dyDescent="0.4">
      <c r="A35" s="98"/>
      <c r="B35" s="99"/>
      <c r="C35" s="182"/>
      <c r="D35" s="183"/>
      <c r="E35" s="183"/>
      <c r="F35" s="184"/>
      <c r="G35" s="185"/>
      <c r="H35" s="186"/>
      <c r="I35" s="187"/>
      <c r="J35" s="182"/>
      <c r="K35" s="183"/>
      <c r="L35" s="183"/>
      <c r="M35" s="184"/>
      <c r="N35" s="185"/>
      <c r="O35" s="186"/>
      <c r="AA35" s="98"/>
    </row>
    <row r="36" spans="1:27" ht="35" customHeight="1" thickBot="1" x14ac:dyDescent="0.4">
      <c r="A36" s="98"/>
      <c r="B36" s="99"/>
      <c r="C36" s="182"/>
      <c r="D36" s="263" t="s">
        <v>258</v>
      </c>
      <c r="E36" s="261">
        <f>IF(E34="","",SUM(E34-(E34*13.75%)))</f>
        <v>0</v>
      </c>
      <c r="F36" s="184"/>
      <c r="G36" s="185"/>
      <c r="H36" s="186"/>
      <c r="I36" s="187"/>
      <c r="J36" s="182"/>
      <c r="K36" s="259" t="s">
        <v>122</v>
      </c>
      <c r="L36" s="260" t="str">
        <f>IF(L9="","",Calculations!AM5)</f>
        <v/>
      </c>
      <c r="M36" s="184"/>
      <c r="N36" s="185"/>
      <c r="O36" s="186"/>
      <c r="AA36" s="98"/>
    </row>
    <row r="37" spans="1:27" ht="15" customHeight="1" thickBot="1" x14ac:dyDescent="0.4">
      <c r="A37" s="98"/>
      <c r="B37" s="99"/>
      <c r="C37" s="192"/>
      <c r="D37" s="193"/>
      <c r="E37" s="193"/>
      <c r="F37" s="194"/>
      <c r="G37" s="185"/>
      <c r="H37" s="186"/>
      <c r="I37" s="187"/>
      <c r="J37" s="192"/>
      <c r="K37" s="193"/>
      <c r="L37" s="193"/>
      <c r="M37" s="194"/>
      <c r="N37" s="185"/>
      <c r="O37" s="186"/>
      <c r="AA37" s="98"/>
    </row>
    <row r="38" spans="1:27" ht="15" thickBot="1" x14ac:dyDescent="0.4">
      <c r="A38" s="98"/>
      <c r="B38" s="102"/>
      <c r="C38" s="104"/>
      <c r="D38" s="104"/>
      <c r="E38" s="104"/>
      <c r="F38" s="104"/>
      <c r="G38" s="103"/>
      <c r="H38" s="98"/>
      <c r="I38" s="102"/>
      <c r="J38" s="229"/>
      <c r="K38" s="229"/>
      <c r="L38" s="229"/>
      <c r="M38" s="229"/>
      <c r="N38" s="230"/>
      <c r="O38" s="186"/>
      <c r="AA38" s="98"/>
    </row>
    <row r="39" spans="1:27" x14ac:dyDescent="0.35">
      <c r="A39" s="98"/>
      <c r="B39" s="98"/>
      <c r="C39" s="98"/>
      <c r="D39" s="98"/>
      <c r="E39" s="98"/>
      <c r="F39" s="98"/>
      <c r="G39" s="98"/>
      <c r="H39" s="98"/>
      <c r="I39" s="98"/>
      <c r="J39" s="186"/>
      <c r="K39" s="186"/>
      <c r="L39" s="186"/>
      <c r="M39" s="186"/>
      <c r="N39" s="186"/>
      <c r="O39" s="186"/>
      <c r="AA39" s="98"/>
    </row>
    <row r="40" spans="1:27" x14ac:dyDescent="0.35">
      <c r="A40" s="220"/>
      <c r="B40" s="231"/>
      <c r="C40" s="231"/>
      <c r="D40" s="231"/>
      <c r="E40" s="232" t="s">
        <v>251</v>
      </c>
      <c r="F40" s="231"/>
      <c r="G40" s="231" t="s">
        <v>253</v>
      </c>
      <c r="H40" s="231"/>
      <c r="I40" s="231"/>
      <c r="J40" s="231"/>
      <c r="K40" s="275" t="s">
        <v>252</v>
      </c>
      <c r="L40" s="275"/>
      <c r="M40" s="231"/>
      <c r="N40" s="231"/>
      <c r="O40" s="233"/>
      <c r="AA40" s="98"/>
    </row>
    <row r="41" spans="1:27" x14ac:dyDescent="0.3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AA41" s="98"/>
    </row>
    <row r="42" spans="1:27" hidden="1" x14ac:dyDescent="0.35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</sheetData>
  <sheetProtection algorithmName="SHA-512" hashValue="yhb32wg7QiHZWFnO9PZfdY+5l3e2te3sTD5NKXxd6dugQ3vOJYN0Hay/5ffT9JAE8GALr7eM95za+FdifU5xyA==" saltValue="hZshxIT4X9v91HQLBpLCyg==" spinCount="100000" sheet="1" objects="1" scenarios="1" selectLockedCells="1"/>
  <mergeCells count="10">
    <mergeCell ref="B2:N2"/>
    <mergeCell ref="B3:N3"/>
    <mergeCell ref="B4:N4"/>
    <mergeCell ref="D8:E8"/>
    <mergeCell ref="K8:L8"/>
    <mergeCell ref="K40:L40"/>
    <mergeCell ref="J30:M30"/>
    <mergeCell ref="C12:F12"/>
    <mergeCell ref="D9:E9"/>
    <mergeCell ref="J12:M12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IF(E14="Beer",Container,Blank)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liquor-partners/liquor-agents-suppliers" xr:uid="{B7DCA446-24E6-4E7A-8EAF-431572C0DB4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P13"/>
  <sheetViews>
    <sheetView workbookViewId="0">
      <selection activeCell="A5" sqref="A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2" x14ac:dyDescent="0.35">
      <c r="A3" s="112" t="s">
        <v>121</v>
      </c>
    </row>
    <row r="4" spans="1:42" s="209" customFormat="1" ht="58" x14ac:dyDescent="0.35">
      <c r="A4" s="202" t="s">
        <v>189</v>
      </c>
      <c r="B4" s="202" t="s">
        <v>180</v>
      </c>
      <c r="C4" s="201" t="s">
        <v>181</v>
      </c>
      <c r="D4" s="201" t="s">
        <v>249</v>
      </c>
      <c r="E4" s="201" t="s">
        <v>182</v>
      </c>
      <c r="F4" s="201" t="s">
        <v>183</v>
      </c>
      <c r="G4" s="201" t="s">
        <v>184</v>
      </c>
      <c r="H4" s="201" t="s">
        <v>225</v>
      </c>
      <c r="I4" s="201" t="s">
        <v>191</v>
      </c>
      <c r="J4" s="202" t="s">
        <v>193</v>
      </c>
      <c r="K4" s="202" t="s">
        <v>185</v>
      </c>
      <c r="L4" s="202" t="s">
        <v>186</v>
      </c>
      <c r="M4" s="201" t="s">
        <v>192</v>
      </c>
      <c r="N4" s="202" t="s">
        <v>190</v>
      </c>
      <c r="O4" s="201" t="s">
        <v>161</v>
      </c>
      <c r="P4" s="201" t="s">
        <v>221</v>
      </c>
      <c r="Q4" s="201" t="s">
        <v>223</v>
      </c>
      <c r="R4" s="201" t="s">
        <v>195</v>
      </c>
      <c r="S4" s="201" t="s">
        <v>187</v>
      </c>
      <c r="T4" s="203" t="s">
        <v>188</v>
      </c>
      <c r="U4" s="203" t="s">
        <v>154</v>
      </c>
      <c r="V4" s="204" t="s">
        <v>24</v>
      </c>
      <c r="W4" s="201" t="s">
        <v>224</v>
      </c>
      <c r="X4" s="216" t="s">
        <v>215</v>
      </c>
      <c r="Y4" s="205" t="s">
        <v>216</v>
      </c>
      <c r="Z4" s="205" t="s">
        <v>206</v>
      </c>
      <c r="AA4" s="205" t="s">
        <v>217</v>
      </c>
      <c r="AB4" s="205" t="s">
        <v>218</v>
      </c>
      <c r="AC4" s="205" t="s">
        <v>214</v>
      </c>
      <c r="AD4" s="206" t="s">
        <v>245</v>
      </c>
      <c r="AE4" s="207" t="s">
        <v>204</v>
      </c>
      <c r="AF4" s="207" t="s">
        <v>205</v>
      </c>
      <c r="AG4" s="213" t="s">
        <v>246</v>
      </c>
      <c r="AH4" s="201" t="s">
        <v>222</v>
      </c>
      <c r="AI4" s="201" t="s">
        <v>259</v>
      </c>
      <c r="AJ4" s="201" t="s">
        <v>260</v>
      </c>
      <c r="AK4" s="214" t="s">
        <v>140</v>
      </c>
      <c r="AL4" s="201" t="s">
        <v>160</v>
      </c>
      <c r="AM4" s="208" t="s">
        <v>226</v>
      </c>
      <c r="AN4" s="199" t="s">
        <v>247</v>
      </c>
      <c r="AO4" s="215" t="s">
        <v>159</v>
      </c>
      <c r="AP4" s="201" t="s">
        <v>250</v>
      </c>
    </row>
    <row r="5" spans="1:42" ht="22.5" customHeight="1" x14ac:dyDescent="0.35">
      <c r="A5" s="125" t="str">
        <f>IF('Trial Pricing Calculator'!E14="","",'Trial Pricing Calculator'!E14)</f>
        <v/>
      </c>
      <c r="B5" s="125" t="str">
        <f>IF(A5="","",(IF(AND('Trial Pricing Calculator'!E14="Wine",'Trial Pricing Calculator'!E15="All Other Wine",Calculations!J5&gt;2),"All Other Wine &gt;2L",IF(AND('Trial Pricing Calculator'!E14="Wine",'Trial Pricing Calculator'!E15="All Other Wine",N5&gt;13.7,Calculations!J5&lt;=2),"All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Wine",IF(AND('Trial Pricing Calculator'!E14="Wine",'Trial Pricing Calculator'!E15="Fortified Wine",N5&lt;14.9),"Fortified Wine &gt;13.7% - 14.9%",IF(AND('Trial Pricing Calculator'!E14="Wine",'Trial Pricing Calculator'!E15="Fortified Wine",N5&gt;14.9),"Fortified Wine &gt;14.9%",IF(OR('Trial Pricing Calculator'!E14="Spirits",'Trial Pricing Calculator'!E14="Ready_to_Drink",'Trial Pricing Calculator'!E14="Beer"),'Trial Pricing Calculator'!E15))))))))))))))))</f>
        <v/>
      </c>
      <c r="C5" s="157" t="str">
        <f>IF('Trial Pricing Calculator'!K9="Retail Price",'Trial Pricing Calculator'!L9,"")</f>
        <v/>
      </c>
      <c r="D5" s="15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26">
        <f>IFERROR(ROUND(IF('Trial Pricing Calculator'!D9="MBLL Distribution",F5*K5),2),"")</f>
        <v>0</v>
      </c>
      <c r="F5" s="142">
        <f>IFERROR(IF(AND('Trial Pricing Calculator'!D9="MBLL Distribution",'Trial Pricing Calculator'!K9="Retail Price"),Calculations!AJ5,IF(AND('Trial Pricing Calculator'!D9="MBLL Distribution",'Trial Pricing Calculator'!K9="Case Cost"),Calculations!AI5,AO5)),"")</f>
        <v>0</v>
      </c>
      <c r="G5" s="161" t="str">
        <f>IFERROR(ROUND(IF('Trial Pricing Calculator'!K9="Retail Price",C5,AK5),2),"")</f>
        <v/>
      </c>
      <c r="H5" s="142" t="str">
        <f>IFERROR(VLOOKUP('Trial Pricing Calculator'!E29,Rates!A:B,2,0),"")</f>
        <v/>
      </c>
      <c r="I5" s="142" t="str">
        <f>IFERROR(ROUND(SUM(F5*H5),4),"")</f>
        <v/>
      </c>
      <c r="J5" s="125">
        <f>'Trial Pricing Calculator'!E20*'Trial Pricing Calculator'!E21</f>
        <v>0</v>
      </c>
      <c r="K5" s="125">
        <f>'Trial Pricing Calculator'!E23</f>
        <v>0</v>
      </c>
      <c r="L5" s="125">
        <f>'Trial Pricing Calculator'!E20</f>
        <v>0</v>
      </c>
      <c r="M5" s="125">
        <f>'Trial Pricing Calculator'!E21</f>
        <v>0</v>
      </c>
      <c r="N5" s="126">
        <f>'Trial Pricing Calculator'!E25*100</f>
        <v>0</v>
      </c>
      <c r="O5" s="125" t="str">
        <f>IF('Trial Pricing Calculator'!E14="Beer",'Trial Pricing Calculator'!E24,"")</f>
        <v/>
      </c>
      <c r="P5" s="142" t="str">
        <f>IF(OR('Trial Pricing Calculator'!E16="No",'Trial Pricing Calculator'!E16=""),"No","Yes")</f>
        <v>No</v>
      </c>
      <c r="Q5" s="142" t="str">
        <f>IF(AND(OR(A5="Spirits",A5="Wine",A5="Beer",A5="Ready_to_Drink"),P5="No"),"0",IF(AND(B5="RTD - NGS/Bulk Spirits",P5="Yes"),"2","1"))</f>
        <v>1</v>
      </c>
      <c r="R5" s="125" t="str">
        <f>IF(OR('Trial Pricing Calculator'!E17="NO",'Trial Pricing Calculator'!E17=""),"NO","YES")</f>
        <v>NO</v>
      </c>
      <c r="S5" s="125">
        <f>'Trial Pricing Calculator'!E28</f>
        <v>0</v>
      </c>
      <c r="T5" s="15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5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58" t="str">
        <f>IF(A5="","",ROUND(IF(A5="","",IF(S5="Duty Paid",0,IF(AND(A5="Spirits",N5&gt;7),J5*N5*Rates!K7*0.01,IF(AND(A5="Spirits",N5&lt;=7),J5*Rates!K8,IF(AND(OR(B5="RTD - NGS/Bulk Spirits",B5="RTD - Spirit-Based"),N5&lt;=7),J5*Rates!K8,IF(AND(OR(B5="RTD - NGS/Bulk Spirits",B5="RTD - One-Pour Cocktails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Malt-Based",A5="Beer"),S5="Customs"),J5*Rates!K6,0))))))))),4))</f>
        <v/>
      </c>
      <c r="W5" s="142" t="str">
        <f>IF(A5="","",ROUND(IF(A5="","",SUM(T5+U5+V5)),4))</f>
        <v/>
      </c>
      <c r="X5" s="159" t="str">
        <f>IF(A5="","",ROUND(IF(AND('Trial Pricing Calculator'!D9="MBLL Distribution",C5=""),AJ5+W5,IF(AND('Trial Pricing Calculator'!D9="MBLL Distribution",D5=""),SUM(AK5-AD5-AE5-AF5-Z5-Y5),AO5)),4))</f>
        <v/>
      </c>
      <c r="Y5" s="160">
        <f>IF('Trial Pricing Calculator'!E18="NO",0,ROUND(IF('Trial Pricing Calculator'!E18="YES",'Trial Pricing Calculator'!L24,0),4))</f>
        <v>0</v>
      </c>
      <c r="Z5" s="160">
        <f>ROUND(IF(AND(OR(O5="Can",O5="Bottle"),A5="Beer"),SUM(0.0292*M5),0),4)</f>
        <v>0</v>
      </c>
      <c r="AA5" s="160">
        <f>ROUND(IF(A5="Spirits",VLOOKUP(VALUE(Q5),Rates!N8:P9,3,0)*AH5,IF(A5="Wine",VLOOKUP(VALUE(Q5),Rates!N12:P13,3,0)*AH5,IF(A5="Ready_to_Drink",VLOOKUP(VALUE(Q5),Rates!N16:P18,3,0)*AH5,IF(A5="Beer",VLOOKUP(VALUE(Q5),Rates!N21:P22,3,0)*AH5,0)))),4)</f>
        <v>0</v>
      </c>
      <c r="AB5" s="160">
        <f>ROUND(IF(A5="Spirits",SUM(VLOOKUP(VALUE(Q5),Rates!N8:O9,2,0)/100)*X5,IF(A5="Wine",SUM(VLOOKUP(VALUE(Q5),Rates!N12:P13,2,0)/100)*X5,IF(A5="Ready_to_Drink",SUM(VLOOKUP(VALUE(Q5),Rates!N16:P18,2,0)/100)*X5,IF(A5="Beer",SUM(VLOOKUP(VALUE(Q5),Rates!N21:P22,2,0)/100)*X5,0)))),4)</f>
        <v>0</v>
      </c>
      <c r="AC5" s="160" t="str">
        <f>IF(A5="","",ROUND(IF(P5="YES",0,SUM(VLOOKUP(A5,Rates!Q:R,2,0)*J5)),4))</f>
        <v/>
      </c>
      <c r="AD5" s="162" t="str">
        <f>IF(A5="","",IF(C5="",MAX(AB5,AC5),MAX(AA5,AC5)))</f>
        <v/>
      </c>
      <c r="AE5" s="163" t="str">
        <f>IF(A5="","",ROUND(IF('Trial Pricing Calculator'!E16="Yes",VLOOKUP(Calculations!A5,Rates!L6:M9,2,0)*J5,VLOOKUP(Calculations!A5,Rates!S6:T9,2,0)*J5),4))</f>
        <v/>
      </c>
      <c r="AF5" s="163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42" t="str">
        <f>IFERROR(ROUND(SUM(AE5+AF5+Z5+Y5),4),"")</f>
        <v/>
      </c>
      <c r="AH5" s="142" t="e">
        <f>ROUND(IF(A5="","",IF('Trial Pricing Calculator'!K9="Retail Price",SUM(AK5-AG5),0)),4)</f>
        <v>#VALUE!</v>
      </c>
      <c r="AI5" s="142" t="e">
        <f>ROUND(IF(AND('Trial Pricing Calculator'!D9="MBLL Distribution",C5=""),SUM((Calculations!D5/K5)-Y5),SUM(X5-W5)),4)</f>
        <v>#VALUE!</v>
      </c>
      <c r="AJ5" s="142" t="str">
        <f>IFERROR(ROUND(IF(AND('Trial Pricing Calculator'!D9="MBLL Distribution",C5=""),AI5*H5,AI5/H5),4),"")</f>
        <v/>
      </c>
      <c r="AK5" s="217" t="str">
        <f>IFERROR(IF('Trial Pricing Calculator'!K9="Retail Price",C5,SUM(X5+AD5+AE5+AF5+Z5)),"")</f>
        <v/>
      </c>
      <c r="AL5" s="218" t="str">
        <f>IF(A5="","",ROUND(IF('Trial Pricing Calculator'!K9="Retail Price",AJ5*K5,AI5*K5),2))</f>
        <v/>
      </c>
      <c r="AM5" s="166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One-Pour Cocktails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200">
        <f>'Trial Pricing Calculator'!E31</f>
        <v>0</v>
      </c>
      <c r="AO5" s="162">
        <f>IF('Trial Pricing Calculator'!K9="Gross Price to Brewer",'Trial Pricing Calculator'!L9,IF('Trial Pricing Calculator'!K9="Retail Price",ROUND(SUM(AH5-AD5),4),0))</f>
        <v>0</v>
      </c>
      <c r="AP5" s="218" t="str">
        <f>IFERROR(AL5+SUM(Y5*K5),"")</f>
        <v/>
      </c>
    </row>
    <row r="6" spans="1:42" x14ac:dyDescent="0.35">
      <c r="AH6" s="156"/>
    </row>
    <row r="7" spans="1:42" x14ac:dyDescent="0.35">
      <c r="AH7" s="156"/>
    </row>
    <row r="9" spans="1:42" x14ac:dyDescent="0.35">
      <c r="AG9" s="156"/>
    </row>
    <row r="12" spans="1:42" x14ac:dyDescent="0.35">
      <c r="AF12" s="156"/>
    </row>
    <row r="13" spans="1:42" x14ac:dyDescent="0.35">
      <c r="AF13" s="15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I260"/>
  <sheetViews>
    <sheetView showGridLines="0" topLeftCell="N5" workbookViewId="0">
      <selection activeCell="AB29" sqref="AB29"/>
    </sheetView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</cols>
  <sheetData>
    <row r="1" spans="1:35" ht="16" thickBot="1" x14ac:dyDescent="0.4">
      <c r="A1" s="43" t="s">
        <v>256</v>
      </c>
      <c r="B1" s="11"/>
      <c r="C1" s="248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47"/>
    </row>
    <row r="2" spans="1:35" ht="15.5" x14ac:dyDescent="0.35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296" t="s">
        <v>257</v>
      </c>
      <c r="M2" s="297"/>
      <c r="N2" s="67" t="s">
        <v>220</v>
      </c>
      <c r="O2" s="148"/>
      <c r="P2" s="69"/>
      <c r="Q2" s="68" t="s">
        <v>219</v>
      </c>
      <c r="R2" s="68"/>
      <c r="S2" s="294" t="s">
        <v>177</v>
      </c>
      <c r="T2" s="295"/>
      <c r="U2" s="67" t="s">
        <v>176</v>
      </c>
      <c r="V2" s="69"/>
      <c r="W2" s="67" t="s">
        <v>178</v>
      </c>
      <c r="X2" s="69"/>
      <c r="Y2" s="67" t="s">
        <v>179</v>
      </c>
      <c r="Z2" s="68"/>
      <c r="AA2" s="67" t="s">
        <v>194</v>
      </c>
      <c r="AB2" s="68"/>
      <c r="AC2" s="68"/>
      <c r="AD2" s="69"/>
      <c r="AE2" t="s">
        <v>162</v>
      </c>
      <c r="AF2" t="s">
        <v>163</v>
      </c>
      <c r="AG2" t="s">
        <v>30</v>
      </c>
      <c r="AH2" t="s">
        <v>164</v>
      </c>
      <c r="AI2" t="s">
        <v>165</v>
      </c>
    </row>
    <row r="3" spans="1:35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298"/>
      <c r="M3" s="299"/>
      <c r="N3" s="70"/>
      <c r="O3" s="71"/>
      <c r="P3" s="72"/>
      <c r="Q3" s="71"/>
      <c r="R3" s="71"/>
      <c r="S3" s="123"/>
      <c r="T3" s="124"/>
      <c r="U3" s="113"/>
      <c r="V3" s="72"/>
      <c r="W3" s="113"/>
      <c r="X3" s="72"/>
      <c r="Y3" s="113"/>
      <c r="Z3" s="71"/>
      <c r="AA3" s="113" t="s">
        <v>9</v>
      </c>
      <c r="AB3" s="71"/>
      <c r="AC3" s="71"/>
      <c r="AD3" s="72"/>
      <c r="AE3" t="s">
        <v>166</v>
      </c>
      <c r="AF3" t="s">
        <v>167</v>
      </c>
      <c r="AG3">
        <v>100</v>
      </c>
      <c r="AH3">
        <v>1.4435</v>
      </c>
      <c r="AI3">
        <v>0.31</v>
      </c>
    </row>
    <row r="4" spans="1:35" ht="26.5" x14ac:dyDescent="0.35">
      <c r="A4" s="23" t="s">
        <v>7</v>
      </c>
      <c r="B4" s="24" t="s">
        <v>25</v>
      </c>
      <c r="C4" s="23" t="s">
        <v>23</v>
      </c>
      <c r="D4" s="23" t="s">
        <v>151</v>
      </c>
      <c r="E4" s="24" t="s">
        <v>26</v>
      </c>
      <c r="F4" s="25" t="s">
        <v>152</v>
      </c>
      <c r="G4" s="24" t="s">
        <v>27</v>
      </c>
      <c r="H4" s="25" t="s">
        <v>153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46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16" t="s">
        <v>30</v>
      </c>
      <c r="T4" s="117" t="s">
        <v>25</v>
      </c>
      <c r="U4" s="116" t="s">
        <v>30</v>
      </c>
      <c r="V4" s="117" t="s">
        <v>25</v>
      </c>
      <c r="W4" s="116" t="s">
        <v>30</v>
      </c>
      <c r="X4" s="117" t="s">
        <v>25</v>
      </c>
      <c r="Y4" s="116" t="s">
        <v>30</v>
      </c>
      <c r="Z4" s="121" t="s">
        <v>25</v>
      </c>
      <c r="AA4" s="127" t="s">
        <v>30</v>
      </c>
      <c r="AB4" s="121" t="s">
        <v>29</v>
      </c>
      <c r="AC4" s="121" t="s">
        <v>25</v>
      </c>
      <c r="AD4" s="117"/>
      <c r="AE4" t="s">
        <v>166</v>
      </c>
      <c r="AF4" t="s">
        <v>167</v>
      </c>
      <c r="AG4">
        <v>200</v>
      </c>
      <c r="AH4">
        <v>2.347</v>
      </c>
      <c r="AI4">
        <v>0.31</v>
      </c>
    </row>
    <row r="5" spans="1:35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46"/>
      <c r="O5" s="26"/>
      <c r="P5" s="24"/>
      <c r="Q5" s="26"/>
      <c r="R5" s="44"/>
      <c r="S5" s="118"/>
      <c r="T5" s="119"/>
      <c r="U5" s="118"/>
      <c r="V5" s="119"/>
      <c r="W5" s="118"/>
      <c r="X5" s="119"/>
      <c r="Y5" s="118"/>
      <c r="Z5" s="122"/>
      <c r="AA5" s="128"/>
      <c r="AB5" s="122"/>
      <c r="AC5" s="122"/>
      <c r="AD5" s="119"/>
      <c r="AE5" t="s">
        <v>166</v>
      </c>
      <c r="AF5" t="s">
        <v>167</v>
      </c>
      <c r="AG5">
        <v>300</v>
      </c>
      <c r="AH5">
        <v>1.1942999999999999</v>
      </c>
      <c r="AI5">
        <v>0.19</v>
      </c>
    </row>
    <row r="6" spans="1:35" x14ac:dyDescent="0.35">
      <c r="A6" s="27" t="s">
        <v>31</v>
      </c>
      <c r="B6" s="31">
        <v>1</v>
      </c>
      <c r="C6" s="27" t="s">
        <v>32</v>
      </c>
      <c r="D6" s="27" t="s">
        <v>33</v>
      </c>
      <c r="E6" s="265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53">
        <v>0.37690000000000001</v>
      </c>
      <c r="L6" s="249" t="s">
        <v>14</v>
      </c>
      <c r="M6" s="251">
        <v>0.28699999999999998</v>
      </c>
      <c r="N6" s="53" t="s">
        <v>14</v>
      </c>
      <c r="O6" s="149"/>
      <c r="P6" s="54"/>
      <c r="Q6" s="144" t="s">
        <v>14</v>
      </c>
      <c r="R6" s="114">
        <v>19.885000000000002</v>
      </c>
      <c r="S6" s="64" t="s">
        <v>14</v>
      </c>
      <c r="T6" s="114">
        <v>1.476</v>
      </c>
      <c r="U6" s="64" t="s">
        <v>14</v>
      </c>
      <c r="V6" s="114">
        <v>0.31780000000000003</v>
      </c>
      <c r="W6" s="64" t="s">
        <v>14</v>
      </c>
      <c r="X6" s="114">
        <v>0.51249999999999996</v>
      </c>
      <c r="Y6" s="64" t="s">
        <v>14</v>
      </c>
      <c r="Z6" s="120">
        <v>0.82</v>
      </c>
      <c r="AA6" s="131" t="s">
        <v>14</v>
      </c>
      <c r="AB6" s="129" t="s">
        <v>126</v>
      </c>
      <c r="AC6" s="129">
        <v>0</v>
      </c>
      <c r="AD6" s="132"/>
      <c r="AE6" t="s">
        <v>166</v>
      </c>
      <c r="AF6" t="s">
        <v>168</v>
      </c>
      <c r="AG6">
        <v>300</v>
      </c>
      <c r="AH6">
        <v>1.1942999999999999</v>
      </c>
      <c r="AI6">
        <v>0</v>
      </c>
    </row>
    <row r="7" spans="1:35" x14ac:dyDescent="0.35">
      <c r="A7" s="27" t="s">
        <v>36</v>
      </c>
      <c r="B7" s="31">
        <v>1.46</v>
      </c>
      <c r="C7" s="27" t="s">
        <v>37</v>
      </c>
      <c r="D7" s="27" t="s">
        <v>38</v>
      </c>
      <c r="E7" s="265">
        <v>0.4</v>
      </c>
      <c r="F7" s="29" t="s">
        <v>39</v>
      </c>
      <c r="G7" s="48">
        <v>0.88</v>
      </c>
      <c r="H7" s="29" t="s">
        <v>40</v>
      </c>
      <c r="I7" s="265">
        <v>1.2</v>
      </c>
      <c r="J7" s="30" t="s">
        <v>108</v>
      </c>
      <c r="K7" s="254">
        <v>14.117000000000001</v>
      </c>
      <c r="L7" s="249" t="s">
        <v>17</v>
      </c>
      <c r="M7" s="251">
        <v>0.46129999999999999</v>
      </c>
      <c r="N7" s="55" t="s">
        <v>113</v>
      </c>
      <c r="O7" s="150" t="s">
        <v>112</v>
      </c>
      <c r="P7" s="56" t="s">
        <v>114</v>
      </c>
      <c r="Q7" s="144" t="s">
        <v>17</v>
      </c>
      <c r="R7" s="114">
        <v>3.28</v>
      </c>
      <c r="S7" s="64" t="s">
        <v>17</v>
      </c>
      <c r="T7" s="114">
        <v>2.4087999999999998</v>
      </c>
      <c r="U7" s="64" t="s">
        <v>17</v>
      </c>
      <c r="V7" s="114">
        <v>0.31780000000000003</v>
      </c>
      <c r="W7" s="64" t="s">
        <v>17</v>
      </c>
      <c r="X7" s="114">
        <v>0.51249999999999996</v>
      </c>
      <c r="Y7" s="64" t="s">
        <v>17</v>
      </c>
      <c r="Z7" s="120">
        <v>0.82</v>
      </c>
      <c r="AA7" s="131"/>
      <c r="AB7" s="129" t="s">
        <v>130</v>
      </c>
      <c r="AC7" s="129">
        <v>4.9200000000000001E-2</v>
      </c>
      <c r="AD7" s="132"/>
      <c r="AE7" t="s">
        <v>166</v>
      </c>
      <c r="AF7" t="s">
        <v>167</v>
      </c>
      <c r="AG7">
        <v>400</v>
      </c>
      <c r="AH7">
        <v>0.54010000000000002</v>
      </c>
      <c r="AI7">
        <v>0.19</v>
      </c>
    </row>
    <row r="8" spans="1:35" x14ac:dyDescent="0.35">
      <c r="A8" s="27" t="s">
        <v>41</v>
      </c>
      <c r="B8" s="31">
        <v>1.64</v>
      </c>
      <c r="C8" s="27" t="s">
        <v>42</v>
      </c>
      <c r="D8" s="27" t="s">
        <v>43</v>
      </c>
      <c r="E8" s="265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55">
        <v>0.35799999999999998</v>
      </c>
      <c r="L8" s="249" t="s">
        <v>46</v>
      </c>
      <c r="M8" s="251">
        <v>0.23580000000000001</v>
      </c>
      <c r="N8" s="57">
        <v>1</v>
      </c>
      <c r="O8" s="151">
        <v>40</v>
      </c>
      <c r="P8" s="58">
        <f>ROUND(1-(100/(O8+100)),6)</f>
        <v>0.28571400000000002</v>
      </c>
      <c r="Q8" s="144" t="s">
        <v>46</v>
      </c>
      <c r="R8" s="114">
        <v>2.46</v>
      </c>
      <c r="S8" s="64" t="s">
        <v>46</v>
      </c>
      <c r="T8" s="114">
        <v>1.2198</v>
      </c>
      <c r="U8" s="64" t="s">
        <v>46</v>
      </c>
      <c r="V8" s="114">
        <v>0.1948</v>
      </c>
      <c r="W8" s="64" t="s">
        <v>46</v>
      </c>
      <c r="X8" s="114">
        <v>0.48180000000000001</v>
      </c>
      <c r="Y8" s="64" t="s">
        <v>46</v>
      </c>
      <c r="Z8" s="120">
        <v>0.53300000000000003</v>
      </c>
      <c r="AA8" s="131"/>
      <c r="AB8" s="129" t="s">
        <v>133</v>
      </c>
      <c r="AC8" s="129">
        <v>0.12280000000000001</v>
      </c>
      <c r="AD8" s="132"/>
      <c r="AE8" t="s">
        <v>166</v>
      </c>
      <c r="AF8" t="s">
        <v>168</v>
      </c>
      <c r="AG8">
        <v>400</v>
      </c>
      <c r="AH8">
        <v>0.54010000000000002</v>
      </c>
      <c r="AI8">
        <v>0</v>
      </c>
    </row>
    <row r="9" spans="1:35" x14ac:dyDescent="0.35">
      <c r="A9" s="27" t="s">
        <v>47</v>
      </c>
      <c r="B9" s="31">
        <v>0.82</v>
      </c>
      <c r="C9" s="27"/>
      <c r="D9" s="27" t="s">
        <v>48</v>
      </c>
      <c r="E9" s="265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56">
        <v>0.745</v>
      </c>
      <c r="L9" s="250" t="s">
        <v>15</v>
      </c>
      <c r="M9" s="252">
        <v>0.1128</v>
      </c>
      <c r="N9" s="59">
        <v>0</v>
      </c>
      <c r="O9" s="152">
        <v>153</v>
      </c>
      <c r="P9" s="60">
        <f>ROUND(1-(100/(O9+100)),6)</f>
        <v>0.60474300000000003</v>
      </c>
      <c r="Q9" s="144" t="s">
        <v>15</v>
      </c>
      <c r="R9" s="114">
        <v>1.9475</v>
      </c>
      <c r="S9" s="65" t="s">
        <v>15</v>
      </c>
      <c r="T9" s="115">
        <v>0.55349999999999999</v>
      </c>
      <c r="U9" s="65" t="s">
        <v>15</v>
      </c>
      <c r="V9" s="115">
        <v>0.1948</v>
      </c>
      <c r="W9" s="65" t="s">
        <v>15</v>
      </c>
      <c r="X9" s="115">
        <v>0.48180000000000001</v>
      </c>
      <c r="Y9" s="65" t="s">
        <v>15</v>
      </c>
      <c r="Z9" s="130">
        <v>0.53300000000000003</v>
      </c>
      <c r="AA9" s="131"/>
      <c r="AB9" s="129" t="s">
        <v>135</v>
      </c>
      <c r="AC9" s="129">
        <v>0.12280000000000001</v>
      </c>
      <c r="AD9" s="132"/>
      <c r="AE9" t="s">
        <v>169</v>
      </c>
      <c r="AF9" t="s">
        <v>167</v>
      </c>
      <c r="AG9">
        <v>100</v>
      </c>
      <c r="AH9">
        <v>1.4435</v>
      </c>
      <c r="AI9">
        <v>0.5</v>
      </c>
    </row>
    <row r="10" spans="1:35" x14ac:dyDescent="0.35">
      <c r="A10" s="27" t="s">
        <v>51</v>
      </c>
      <c r="B10" s="31">
        <v>0.08</v>
      </c>
      <c r="C10" s="27"/>
      <c r="D10" s="27" t="s">
        <v>52</v>
      </c>
      <c r="E10" s="265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210" t="s">
        <v>111</v>
      </c>
      <c r="K10" s="257">
        <v>0.35799999999999998</v>
      </c>
      <c r="L10" s="211"/>
      <c r="M10" s="212"/>
      <c r="N10" s="61" t="s">
        <v>115</v>
      </c>
      <c r="O10" s="149"/>
      <c r="P10" s="62"/>
      <c r="Q10" s="145"/>
      <c r="R10" s="66"/>
      <c r="AA10" s="133"/>
      <c r="AB10" s="134" t="s">
        <v>141</v>
      </c>
      <c r="AC10" s="135">
        <v>0.12280000000000001</v>
      </c>
      <c r="AD10" s="136"/>
      <c r="AE10" t="s">
        <v>169</v>
      </c>
      <c r="AF10" t="s">
        <v>167</v>
      </c>
      <c r="AG10">
        <v>200</v>
      </c>
      <c r="AH10">
        <v>2.347</v>
      </c>
      <c r="AI10">
        <v>0.5</v>
      </c>
    </row>
    <row r="11" spans="1:35" x14ac:dyDescent="0.35">
      <c r="A11" s="27" t="s">
        <v>55</v>
      </c>
      <c r="B11" s="31">
        <v>1.88</v>
      </c>
      <c r="C11" s="27"/>
      <c r="D11" s="27" t="s">
        <v>56</v>
      </c>
      <c r="E11" s="265">
        <v>0.4</v>
      </c>
      <c r="F11" s="29" t="s">
        <v>57</v>
      </c>
      <c r="G11" s="48">
        <v>0.72</v>
      </c>
      <c r="H11" s="29" t="s">
        <v>58</v>
      </c>
      <c r="I11" s="265">
        <v>1.1000000000000001</v>
      </c>
      <c r="J11" s="27"/>
      <c r="K11" s="32"/>
      <c r="L11" s="33"/>
      <c r="M11" s="143"/>
      <c r="N11" s="55" t="s">
        <v>113</v>
      </c>
      <c r="O11" s="150" t="s">
        <v>112</v>
      </c>
      <c r="P11" s="56" t="s">
        <v>114</v>
      </c>
      <c r="AA11" s="133"/>
      <c r="AB11" s="134" t="s">
        <v>142</v>
      </c>
      <c r="AC11" s="135">
        <v>0.12280000000000001</v>
      </c>
      <c r="AD11" s="136"/>
      <c r="AE11" t="s">
        <v>169</v>
      </c>
      <c r="AF11" t="s">
        <v>167</v>
      </c>
      <c r="AG11">
        <v>300</v>
      </c>
      <c r="AH11">
        <v>1.1942999999999999</v>
      </c>
      <c r="AI11">
        <v>0.47</v>
      </c>
    </row>
    <row r="12" spans="1:35" x14ac:dyDescent="0.35">
      <c r="A12" s="27" t="s">
        <v>59</v>
      </c>
      <c r="B12" s="266">
        <v>0.93</v>
      </c>
      <c r="C12" s="27"/>
      <c r="D12" s="27" t="s">
        <v>60</v>
      </c>
      <c r="E12" s="265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43"/>
      <c r="N12" s="57">
        <v>1</v>
      </c>
      <c r="O12" s="153">
        <v>40</v>
      </c>
      <c r="P12" s="58">
        <f>ROUND(1-(100/(O12+100)),6)</f>
        <v>0.28571400000000002</v>
      </c>
      <c r="AA12" s="133"/>
      <c r="AB12" s="134" t="s">
        <v>143</v>
      </c>
      <c r="AC12" s="135">
        <v>0.12280000000000001</v>
      </c>
      <c r="AD12" s="136"/>
      <c r="AE12" t="s">
        <v>169</v>
      </c>
      <c r="AF12" t="s">
        <v>168</v>
      </c>
      <c r="AG12">
        <v>300</v>
      </c>
      <c r="AH12">
        <v>1.1942999999999999</v>
      </c>
      <c r="AI12">
        <v>0</v>
      </c>
    </row>
    <row r="13" spans="1:35" x14ac:dyDescent="0.35">
      <c r="A13" s="27"/>
      <c r="B13" s="34"/>
      <c r="C13" s="27"/>
      <c r="D13" s="27" t="s">
        <v>62</v>
      </c>
      <c r="E13" s="265">
        <v>0.4</v>
      </c>
      <c r="F13" s="29" t="s">
        <v>63</v>
      </c>
      <c r="G13" s="48">
        <v>1.01</v>
      </c>
      <c r="H13" s="29" t="s">
        <v>68</v>
      </c>
      <c r="I13" s="265">
        <v>1.5</v>
      </c>
      <c r="J13" s="27"/>
      <c r="K13" s="32"/>
      <c r="L13" s="33"/>
      <c r="M13" s="143"/>
      <c r="N13" s="59">
        <v>0</v>
      </c>
      <c r="O13" s="154">
        <v>95</v>
      </c>
      <c r="P13" s="60">
        <f>ROUND(1-(100/(O13+100)),6)</f>
        <v>0.48717899999999997</v>
      </c>
      <c r="AA13" s="133"/>
      <c r="AB13" s="134" t="s">
        <v>136</v>
      </c>
      <c r="AC13" s="135">
        <v>0.24560000000000001</v>
      </c>
      <c r="AD13" s="136"/>
      <c r="AE13" t="s">
        <v>169</v>
      </c>
      <c r="AF13" t="s">
        <v>167</v>
      </c>
      <c r="AG13">
        <v>400</v>
      </c>
      <c r="AH13">
        <v>0.54010000000000002</v>
      </c>
      <c r="AI13">
        <v>0.47</v>
      </c>
    </row>
    <row r="14" spans="1:35" x14ac:dyDescent="0.35">
      <c r="A14" s="27" t="s">
        <v>65</v>
      </c>
      <c r="B14" s="34"/>
      <c r="C14" s="27"/>
      <c r="D14" s="27" t="s">
        <v>66</v>
      </c>
      <c r="E14" s="265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43"/>
      <c r="N14" s="53" t="s">
        <v>116</v>
      </c>
      <c r="O14" s="149"/>
      <c r="P14" s="54"/>
      <c r="AA14" s="133"/>
      <c r="AB14" s="134" t="s">
        <v>144</v>
      </c>
      <c r="AC14" s="135">
        <v>0</v>
      </c>
      <c r="AD14" s="136"/>
      <c r="AE14" t="s">
        <v>169</v>
      </c>
      <c r="AF14" t="s">
        <v>168</v>
      </c>
      <c r="AG14">
        <v>400</v>
      </c>
      <c r="AH14">
        <v>0.54010000000000002</v>
      </c>
      <c r="AI14">
        <v>0</v>
      </c>
    </row>
    <row r="15" spans="1:35" x14ac:dyDescent="0.35">
      <c r="A15" s="27" t="s">
        <v>31</v>
      </c>
      <c r="B15" s="28">
        <v>1</v>
      </c>
      <c r="C15" s="27"/>
      <c r="D15" s="27" t="s">
        <v>69</v>
      </c>
      <c r="E15" s="265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43"/>
      <c r="N15" s="55" t="s">
        <v>113</v>
      </c>
      <c r="O15" s="150" t="s">
        <v>112</v>
      </c>
      <c r="P15" s="56" t="s">
        <v>114</v>
      </c>
      <c r="AA15" s="133"/>
      <c r="AB15" s="134" t="s">
        <v>138</v>
      </c>
      <c r="AC15" s="135">
        <v>0.12280000000000001</v>
      </c>
      <c r="AD15" s="136"/>
      <c r="AE15" t="s">
        <v>170</v>
      </c>
      <c r="AF15" t="s">
        <v>167</v>
      </c>
      <c r="AG15" t="s">
        <v>171</v>
      </c>
      <c r="AH15">
        <v>1.4435</v>
      </c>
      <c r="AI15">
        <v>0.8</v>
      </c>
    </row>
    <row r="16" spans="1:35" x14ac:dyDescent="0.35">
      <c r="A16" s="27"/>
      <c r="B16" s="34"/>
      <c r="C16" s="27"/>
      <c r="D16" s="27" t="s">
        <v>72</v>
      </c>
      <c r="E16" s="265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43"/>
      <c r="N16" s="27">
        <v>1</v>
      </c>
      <c r="O16" s="153">
        <v>40</v>
      </c>
      <c r="P16" s="58">
        <f>ROUND(1-(100/(O16+100)),6)</f>
        <v>0.28571400000000002</v>
      </c>
      <c r="AA16" s="133"/>
      <c r="AB16" s="134" t="s">
        <v>139</v>
      </c>
      <c r="AC16" s="135">
        <v>0</v>
      </c>
      <c r="AD16" s="136"/>
      <c r="AE16" t="s">
        <v>170</v>
      </c>
      <c r="AF16" t="s">
        <v>167</v>
      </c>
      <c r="AG16" t="s">
        <v>172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65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43"/>
      <c r="N17" s="27">
        <v>2</v>
      </c>
      <c r="O17" s="153">
        <v>70</v>
      </c>
      <c r="P17" s="58">
        <f>ROUND(1-(100/(O17+100)),6)</f>
        <v>0.41176499999999999</v>
      </c>
      <c r="AA17" s="133"/>
      <c r="AB17" s="134"/>
      <c r="AC17" s="137"/>
      <c r="AD17" s="136"/>
      <c r="AE17" t="s">
        <v>170</v>
      </c>
      <c r="AF17" t="s">
        <v>167</v>
      </c>
      <c r="AG17" t="s">
        <v>173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65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43"/>
      <c r="N18" s="59">
        <v>0</v>
      </c>
      <c r="O18" s="154">
        <v>95</v>
      </c>
      <c r="P18" s="60">
        <f>ROUND(1-(100/(O18+100)),6)</f>
        <v>0.48717899999999997</v>
      </c>
      <c r="AA18" s="133" t="s">
        <v>17</v>
      </c>
      <c r="AB18" s="134" t="s">
        <v>200</v>
      </c>
      <c r="AC18" s="135">
        <v>2.8199999999999999E-2</v>
      </c>
      <c r="AD18" s="136"/>
      <c r="AE18" t="s">
        <v>170</v>
      </c>
      <c r="AF18" t="s">
        <v>168</v>
      </c>
      <c r="AG18" t="s">
        <v>173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65">
        <v>0.4</v>
      </c>
      <c r="F19" s="29" t="s">
        <v>82</v>
      </c>
      <c r="G19" s="48">
        <v>0.82</v>
      </c>
      <c r="H19" s="29" t="s">
        <v>86</v>
      </c>
      <c r="I19" s="265">
        <v>1.2</v>
      </c>
      <c r="J19" s="27"/>
      <c r="K19" s="32"/>
      <c r="L19" s="33"/>
      <c r="M19" s="143"/>
      <c r="N19" s="61" t="s">
        <v>15</v>
      </c>
      <c r="O19" s="149"/>
      <c r="P19" s="62"/>
      <c r="AA19" s="133"/>
      <c r="AB19" s="134" t="s">
        <v>201</v>
      </c>
      <c r="AC19" s="135">
        <v>7.0400000000000004E-2</v>
      </c>
      <c r="AD19" s="136"/>
      <c r="AE19" t="s">
        <v>170</v>
      </c>
      <c r="AF19" t="s">
        <v>167</v>
      </c>
      <c r="AG19" t="s">
        <v>174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65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43"/>
      <c r="N20" s="55" t="s">
        <v>30</v>
      </c>
      <c r="O20" s="155" t="s">
        <v>117</v>
      </c>
      <c r="P20" s="63"/>
      <c r="AA20" s="133"/>
      <c r="AB20" s="134" t="s">
        <v>202</v>
      </c>
      <c r="AC20" s="135">
        <v>8.5199999999999998E-2</v>
      </c>
      <c r="AD20" s="136"/>
      <c r="AE20" t="s">
        <v>170</v>
      </c>
      <c r="AF20" t="s">
        <v>168</v>
      </c>
      <c r="AG20" t="s">
        <v>174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65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43"/>
      <c r="N21" s="27">
        <v>1</v>
      </c>
      <c r="O21" s="267">
        <v>29.5</v>
      </c>
      <c r="P21" s="58">
        <f>ROUND(1-(100/(O21+100)),6)</f>
        <v>0.227799</v>
      </c>
      <c r="AA21" s="133"/>
      <c r="AB21" s="134" t="s">
        <v>203</v>
      </c>
      <c r="AC21" s="135">
        <v>7.7799999999999994E-2</v>
      </c>
      <c r="AD21" s="136"/>
      <c r="AE21" t="s">
        <v>175</v>
      </c>
      <c r="AF21" t="s">
        <v>167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65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43"/>
      <c r="N22" s="59">
        <v>0</v>
      </c>
      <c r="O22" s="152">
        <v>78</v>
      </c>
      <c r="P22" s="60">
        <f>ROUND(1-(100/(O22+100)),6)</f>
        <v>0.43820199999999998</v>
      </c>
      <c r="AA22" s="133"/>
      <c r="AB22" s="134" t="s">
        <v>207</v>
      </c>
      <c r="AC22" s="135">
        <v>9.2499999999999999E-2</v>
      </c>
      <c r="AD22" s="136"/>
      <c r="AE22" t="s">
        <v>175</v>
      </c>
      <c r="AF22" t="s">
        <v>167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65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43"/>
      <c r="AA23" s="133"/>
      <c r="AB23" s="134" t="s">
        <v>196</v>
      </c>
      <c r="AC23" s="135">
        <v>1.8700000000000001E-2</v>
      </c>
      <c r="AD23" s="136"/>
      <c r="AE23" t="s">
        <v>175</v>
      </c>
      <c r="AF23" t="s">
        <v>167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261</v>
      </c>
      <c r="E24" s="265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43"/>
      <c r="AA24" s="133"/>
      <c r="AB24" s="134" t="s">
        <v>197</v>
      </c>
      <c r="AC24" s="135">
        <v>4.6800000000000001E-2</v>
      </c>
      <c r="AD24" s="136"/>
      <c r="AE24" t="s">
        <v>175</v>
      </c>
      <c r="AF24" t="s">
        <v>167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262</v>
      </c>
      <c r="E25" s="265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43"/>
      <c r="AA25" s="133"/>
      <c r="AB25" s="134" t="s">
        <v>198</v>
      </c>
      <c r="AC25" s="135">
        <v>0</v>
      </c>
      <c r="AD25" s="136"/>
      <c r="AE25" t="s">
        <v>175</v>
      </c>
      <c r="AF25" t="s">
        <v>168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65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43"/>
      <c r="AA26" s="133"/>
      <c r="AB26" s="134" t="s">
        <v>199</v>
      </c>
      <c r="AC26" s="135">
        <v>0</v>
      </c>
      <c r="AD26" s="136"/>
      <c r="AE26" t="s">
        <v>175</v>
      </c>
      <c r="AF26" t="s">
        <v>168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33"/>
      <c r="AB27" s="134" t="s">
        <v>131</v>
      </c>
      <c r="AC27" s="135">
        <v>0</v>
      </c>
      <c r="AD27" s="136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33"/>
      <c r="AB28" s="134" t="s">
        <v>284</v>
      </c>
      <c r="AC28" s="135">
        <v>4.6800000000000001E-2</v>
      </c>
      <c r="AD28" s="136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33"/>
      <c r="AB29" s="134" t="s">
        <v>285</v>
      </c>
      <c r="AC29" s="135">
        <v>0</v>
      </c>
      <c r="AD29" s="136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65">
        <v>1.1000000000000001</v>
      </c>
      <c r="J30" s="27"/>
      <c r="K30" s="32"/>
      <c r="L30" s="33"/>
      <c r="AA30" s="133"/>
      <c r="AB30" s="134" t="s">
        <v>276</v>
      </c>
      <c r="AC30" s="135">
        <v>1.8700000000000001E-2</v>
      </c>
      <c r="AD30" s="136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31" t="s">
        <v>118</v>
      </c>
      <c r="AB31" s="129" t="s">
        <v>128</v>
      </c>
      <c r="AC31" s="129">
        <v>0.28160000000000002</v>
      </c>
      <c r="AD31" s="132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263</v>
      </c>
      <c r="I32" s="48">
        <v>1.8</v>
      </c>
      <c r="J32" s="27"/>
      <c r="K32" s="32"/>
      <c r="L32" s="33"/>
      <c r="AA32" s="131"/>
      <c r="AB32" s="129" t="s">
        <v>145</v>
      </c>
      <c r="AC32" s="129">
        <v>0.12280000000000001</v>
      </c>
      <c r="AD32" s="132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31"/>
      <c r="AB33" s="129" t="s">
        <v>146</v>
      </c>
      <c r="AC33" s="129">
        <v>0.12280000000000001</v>
      </c>
      <c r="AD33" s="132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31"/>
      <c r="AB34" s="129" t="s">
        <v>147</v>
      </c>
      <c r="AC34" s="129">
        <v>0</v>
      </c>
      <c r="AD34" s="132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33"/>
      <c r="AB35" s="134" t="s">
        <v>148</v>
      </c>
      <c r="AC35" s="135">
        <v>0.12280000000000001</v>
      </c>
      <c r="AD35" s="136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33"/>
      <c r="AB36" s="134" t="s">
        <v>137</v>
      </c>
      <c r="AC36" s="135">
        <v>0.12280000000000001</v>
      </c>
      <c r="AD36" s="136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8" t="s">
        <v>15</v>
      </c>
      <c r="AB37" s="139" t="s">
        <v>15</v>
      </c>
      <c r="AC37" s="140">
        <v>0</v>
      </c>
      <c r="AD37" s="141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2">
    <mergeCell ref="S2:T2"/>
    <mergeCell ref="L2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sqref="A1:E1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06" t="s">
        <v>10</v>
      </c>
      <c r="B1" s="307"/>
      <c r="C1" s="307"/>
      <c r="D1" s="307"/>
      <c r="E1" s="308"/>
    </row>
    <row r="2" spans="1:5" ht="15" thickBot="1" x14ac:dyDescent="0.4">
      <c r="A2" s="303" t="s">
        <v>11</v>
      </c>
      <c r="B2" s="304"/>
      <c r="C2" s="304"/>
      <c r="D2" s="304"/>
      <c r="E2" s="305"/>
    </row>
    <row r="3" spans="1:5" ht="58.5" thickBot="1" x14ac:dyDescent="0.4">
      <c r="A3" s="165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09" t="s">
        <v>14</v>
      </c>
      <c r="B4" s="1" t="s">
        <v>229</v>
      </c>
      <c r="C4" s="195">
        <v>0</v>
      </c>
      <c r="D4" s="195">
        <v>5.8999999999999997E-2</v>
      </c>
      <c r="E4" s="2">
        <v>134.4</v>
      </c>
    </row>
    <row r="5" spans="1:5" x14ac:dyDescent="0.35">
      <c r="A5" s="310"/>
      <c r="B5" s="3" t="s">
        <v>230</v>
      </c>
      <c r="C5" s="196">
        <v>0.06</v>
      </c>
      <c r="D5" s="196">
        <v>9.9000000000000005E-2</v>
      </c>
      <c r="E5" s="4">
        <v>130.02000000000001</v>
      </c>
    </row>
    <row r="6" spans="1:5" x14ac:dyDescent="0.35">
      <c r="A6" s="310"/>
      <c r="B6" s="3" t="s">
        <v>231</v>
      </c>
      <c r="C6" s="196">
        <v>0.1</v>
      </c>
      <c r="D6" s="196">
        <v>0.29899999999999999</v>
      </c>
      <c r="E6" s="4">
        <v>106.38</v>
      </c>
    </row>
    <row r="7" spans="1:5" x14ac:dyDescent="0.35">
      <c r="A7" s="310"/>
      <c r="B7" s="3" t="s">
        <v>232</v>
      </c>
      <c r="C7" s="196">
        <v>0.3</v>
      </c>
      <c r="D7" s="196">
        <v>0.39900000000000002</v>
      </c>
      <c r="E7" s="4">
        <v>88.65</v>
      </c>
    </row>
    <row r="8" spans="1:5" x14ac:dyDescent="0.35">
      <c r="A8" s="310"/>
      <c r="B8" s="3" t="s">
        <v>233</v>
      </c>
      <c r="C8" s="196">
        <v>0.4</v>
      </c>
      <c r="D8" s="196">
        <v>0.69899999999999995</v>
      </c>
      <c r="E8" s="4">
        <v>82.74</v>
      </c>
    </row>
    <row r="9" spans="1:5" ht="15" thickBot="1" x14ac:dyDescent="0.4">
      <c r="A9" s="311"/>
      <c r="B9" s="3" t="s">
        <v>234</v>
      </c>
      <c r="C9" s="196">
        <v>0.7</v>
      </c>
      <c r="D9" s="196">
        <v>999999</v>
      </c>
      <c r="E9" s="4">
        <v>78.069999999999993</v>
      </c>
    </row>
    <row r="10" spans="1:5" x14ac:dyDescent="0.35">
      <c r="A10" s="309" t="s">
        <v>15</v>
      </c>
      <c r="B10" s="1" t="s">
        <v>235</v>
      </c>
      <c r="C10" s="195">
        <v>0</v>
      </c>
      <c r="D10" s="195">
        <v>9.9990000000000006</v>
      </c>
      <c r="E10" s="2">
        <v>78.069999999999993</v>
      </c>
    </row>
    <row r="11" spans="1:5" x14ac:dyDescent="0.35">
      <c r="A11" s="310"/>
      <c r="B11" s="3" t="s">
        <v>236</v>
      </c>
      <c r="C11" s="196">
        <v>10</v>
      </c>
      <c r="D11" s="196">
        <v>19.998999999999999</v>
      </c>
      <c r="E11" s="4">
        <v>70.319999999999993</v>
      </c>
    </row>
    <row r="12" spans="1:5" ht="15" thickBot="1" x14ac:dyDescent="0.4">
      <c r="A12" s="311"/>
      <c r="B12" s="5" t="s">
        <v>237</v>
      </c>
      <c r="C12" s="197">
        <v>20</v>
      </c>
      <c r="D12" s="197">
        <v>999999</v>
      </c>
      <c r="E12" s="6">
        <v>65.010000000000005</v>
      </c>
    </row>
    <row r="13" spans="1:5" x14ac:dyDescent="0.35">
      <c r="A13" s="300" t="s">
        <v>227</v>
      </c>
      <c r="B13" s="1" t="s">
        <v>238</v>
      </c>
      <c r="C13" s="195">
        <v>0</v>
      </c>
      <c r="D13" s="195">
        <v>9.9000000000000005E-2</v>
      </c>
      <c r="E13" s="2">
        <v>157.79</v>
      </c>
    </row>
    <row r="14" spans="1:5" x14ac:dyDescent="0.35">
      <c r="A14" s="301"/>
      <c r="B14" s="3" t="s">
        <v>239</v>
      </c>
      <c r="C14" s="196">
        <v>0.1</v>
      </c>
      <c r="D14" s="196">
        <v>0.249</v>
      </c>
      <c r="E14" s="4">
        <v>106.38</v>
      </c>
    </row>
    <row r="15" spans="1:5" x14ac:dyDescent="0.35">
      <c r="A15" s="301"/>
      <c r="B15" s="3" t="s">
        <v>240</v>
      </c>
      <c r="C15" s="196">
        <v>0.25</v>
      </c>
      <c r="D15" s="196">
        <v>0.39900000000000002</v>
      </c>
      <c r="E15" s="4">
        <v>88.65</v>
      </c>
    </row>
    <row r="16" spans="1:5" x14ac:dyDescent="0.35">
      <c r="A16" s="301"/>
      <c r="B16" s="3" t="s">
        <v>233</v>
      </c>
      <c r="C16" s="196">
        <v>0.4</v>
      </c>
      <c r="D16" s="196">
        <v>0.69899999999999995</v>
      </c>
      <c r="E16" s="4">
        <v>82.74</v>
      </c>
    </row>
    <row r="17" spans="1:5" ht="15" thickBot="1" x14ac:dyDescent="0.4">
      <c r="A17" s="302"/>
      <c r="B17" s="5" t="s">
        <v>234</v>
      </c>
      <c r="C17" s="197">
        <v>0.7</v>
      </c>
      <c r="D17" s="197">
        <v>999999</v>
      </c>
      <c r="E17" s="6">
        <v>78.069999999999993</v>
      </c>
    </row>
    <row r="18" spans="1:5" x14ac:dyDescent="0.35">
      <c r="A18" s="300" t="s">
        <v>228</v>
      </c>
      <c r="B18" s="1" t="s">
        <v>238</v>
      </c>
      <c r="C18" s="195">
        <v>0</v>
      </c>
      <c r="D18" s="195">
        <v>9.9000000000000005E-2</v>
      </c>
      <c r="E18" s="2">
        <v>165.69</v>
      </c>
    </row>
    <row r="19" spans="1:5" x14ac:dyDescent="0.35">
      <c r="A19" s="301"/>
      <c r="B19" s="3" t="s">
        <v>239</v>
      </c>
      <c r="C19" s="196">
        <v>0.1</v>
      </c>
      <c r="D19" s="196">
        <v>0.249</v>
      </c>
      <c r="E19" s="4">
        <v>111.7</v>
      </c>
    </row>
    <row r="20" spans="1:5" x14ac:dyDescent="0.35">
      <c r="A20" s="301"/>
      <c r="B20" s="3" t="s">
        <v>240</v>
      </c>
      <c r="C20" s="196">
        <v>0.25</v>
      </c>
      <c r="D20" s="196">
        <v>0.39900000000000002</v>
      </c>
      <c r="E20" s="4">
        <v>93.08</v>
      </c>
    </row>
    <row r="21" spans="1:5" x14ac:dyDescent="0.35">
      <c r="A21" s="301"/>
      <c r="B21" s="3" t="s">
        <v>233</v>
      </c>
      <c r="C21" s="196">
        <v>0.4</v>
      </c>
      <c r="D21" s="196">
        <v>0.69899999999999995</v>
      </c>
      <c r="E21" s="4">
        <v>86.88</v>
      </c>
    </row>
    <row r="22" spans="1:5" ht="15" thickBot="1" x14ac:dyDescent="0.4">
      <c r="A22" s="302"/>
      <c r="B22" s="5" t="s">
        <v>234</v>
      </c>
      <c r="C22" s="197">
        <v>0.7</v>
      </c>
      <c r="D22" s="197">
        <v>999999</v>
      </c>
      <c r="E22" s="6">
        <v>81.97</v>
      </c>
    </row>
    <row r="23" spans="1:5" x14ac:dyDescent="0.35">
      <c r="A23" s="309" t="s">
        <v>17</v>
      </c>
      <c r="B23" s="1" t="s">
        <v>238</v>
      </c>
      <c r="C23" s="195">
        <v>0</v>
      </c>
      <c r="D23" s="195">
        <v>9.9000000000000005E-2</v>
      </c>
      <c r="E23" s="2">
        <v>153.65</v>
      </c>
    </row>
    <row r="24" spans="1:5" x14ac:dyDescent="0.35">
      <c r="A24" s="310"/>
      <c r="B24" s="3" t="s">
        <v>241</v>
      </c>
      <c r="C24" s="196">
        <v>0.1</v>
      </c>
      <c r="D24" s="196">
        <v>0.374</v>
      </c>
      <c r="E24" s="4">
        <v>112.29</v>
      </c>
    </row>
    <row r="25" spans="1:5" x14ac:dyDescent="0.35">
      <c r="A25" s="310"/>
      <c r="B25" s="3" t="s">
        <v>242</v>
      </c>
      <c r="C25" s="196">
        <v>0.375</v>
      </c>
      <c r="D25" s="196">
        <v>0.69899999999999995</v>
      </c>
      <c r="E25" s="4">
        <v>82.74</v>
      </c>
    </row>
    <row r="26" spans="1:5" x14ac:dyDescent="0.35">
      <c r="A26" s="310"/>
      <c r="B26" s="3" t="s">
        <v>243</v>
      </c>
      <c r="C26" s="196">
        <v>0.7</v>
      </c>
      <c r="D26" s="196">
        <v>3.9990000000000001</v>
      </c>
      <c r="E26" s="4">
        <v>78.069999999999993</v>
      </c>
    </row>
    <row r="27" spans="1:5" ht="15" thickBot="1" x14ac:dyDescent="0.4">
      <c r="A27" s="311"/>
      <c r="B27" s="5" t="s">
        <v>18</v>
      </c>
      <c r="C27" s="197">
        <v>4</v>
      </c>
      <c r="D27" s="197">
        <v>999999</v>
      </c>
      <c r="E27" s="6">
        <v>65.010000000000005</v>
      </c>
    </row>
    <row r="28" spans="1:5" x14ac:dyDescent="0.35">
      <c r="A28" s="300" t="s">
        <v>19</v>
      </c>
      <c r="B28" s="1" t="s">
        <v>16</v>
      </c>
      <c r="C28" s="195">
        <v>0</v>
      </c>
      <c r="D28" s="195">
        <v>9.9000000000000005E-2</v>
      </c>
      <c r="E28" s="2">
        <v>236.4</v>
      </c>
    </row>
    <row r="29" spans="1:5" x14ac:dyDescent="0.35">
      <c r="A29" s="301"/>
      <c r="B29" s="3" t="s">
        <v>241</v>
      </c>
      <c r="C29" s="196">
        <v>0.1</v>
      </c>
      <c r="D29" s="196">
        <v>0.374</v>
      </c>
      <c r="E29" s="4">
        <v>112.29</v>
      </c>
    </row>
    <row r="30" spans="1:5" x14ac:dyDescent="0.35">
      <c r="A30" s="301"/>
      <c r="B30" s="3" t="s">
        <v>242</v>
      </c>
      <c r="C30" s="196">
        <v>0.375</v>
      </c>
      <c r="D30" s="196">
        <v>0.69899999999999995</v>
      </c>
      <c r="E30" s="4">
        <v>82.74</v>
      </c>
    </row>
    <row r="31" spans="1:5" ht="15" thickBot="1" x14ac:dyDescent="0.4">
      <c r="A31" s="302"/>
      <c r="B31" s="5" t="s">
        <v>234</v>
      </c>
      <c r="C31" s="197">
        <v>0.7</v>
      </c>
      <c r="D31" s="197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X23"/>
  <sheetViews>
    <sheetView showGridLines="0" workbookViewId="0">
      <selection activeCell="M18" sqref="M18"/>
    </sheetView>
  </sheetViews>
  <sheetFormatPr defaultRowHeight="14.5" x14ac:dyDescent="0.35"/>
  <cols>
    <col min="1" max="1" width="4.7265625" customWidth="1"/>
  </cols>
  <sheetData>
    <row r="2" spans="2:24" x14ac:dyDescent="0.35">
      <c r="B2" s="312" t="s">
        <v>15</v>
      </c>
      <c r="C2" s="318" t="s">
        <v>267</v>
      </c>
      <c r="D2" s="320"/>
      <c r="E2" s="320"/>
      <c r="F2" s="319"/>
      <c r="G2" s="318" t="s">
        <v>268</v>
      </c>
      <c r="H2" s="320"/>
      <c r="I2" s="320"/>
      <c r="J2" s="319"/>
      <c r="K2" s="315" t="s">
        <v>269</v>
      </c>
      <c r="L2" s="316"/>
      <c r="M2" s="316"/>
      <c r="N2" s="316"/>
      <c r="O2" s="317"/>
      <c r="P2" s="315" t="s">
        <v>270</v>
      </c>
      <c r="Q2" s="316"/>
      <c r="R2" s="316"/>
      <c r="S2" s="316"/>
      <c r="T2" s="317"/>
    </row>
    <row r="3" spans="2:24" x14ac:dyDescent="0.35">
      <c r="B3" s="313"/>
      <c r="C3" s="318" t="s">
        <v>264</v>
      </c>
      <c r="D3" s="319"/>
      <c r="E3" s="318" t="s">
        <v>265</v>
      </c>
      <c r="F3" s="319"/>
      <c r="G3" s="318" t="s">
        <v>264</v>
      </c>
      <c r="H3" s="319"/>
      <c r="I3" s="318" t="s">
        <v>265</v>
      </c>
      <c r="J3" s="319"/>
      <c r="K3" s="315" t="s">
        <v>264</v>
      </c>
      <c r="L3" s="317"/>
      <c r="M3" s="315" t="s">
        <v>265</v>
      </c>
      <c r="N3" s="316"/>
      <c r="O3" s="270" t="s">
        <v>275</v>
      </c>
      <c r="P3" s="315" t="s">
        <v>264</v>
      </c>
      <c r="Q3" s="317"/>
      <c r="R3" s="315" t="s">
        <v>265</v>
      </c>
      <c r="S3" s="316"/>
      <c r="T3" s="270" t="s">
        <v>275</v>
      </c>
    </row>
    <row r="4" spans="2:24" x14ac:dyDescent="0.35">
      <c r="B4" s="313"/>
      <c r="C4" s="268" t="s">
        <v>271</v>
      </c>
      <c r="D4" s="268" t="s">
        <v>272</v>
      </c>
      <c r="E4" s="268" t="s">
        <v>271</v>
      </c>
      <c r="F4" s="268" t="s">
        <v>272</v>
      </c>
      <c r="G4" s="268" t="s">
        <v>271</v>
      </c>
      <c r="H4" s="268" t="s">
        <v>272</v>
      </c>
      <c r="I4" s="268" t="s">
        <v>271</v>
      </c>
      <c r="J4" s="268" t="s">
        <v>272</v>
      </c>
      <c r="K4" s="270" t="s">
        <v>271</v>
      </c>
      <c r="L4" s="270" t="s">
        <v>274</v>
      </c>
      <c r="M4" s="270" t="s">
        <v>271</v>
      </c>
      <c r="N4" s="270" t="s">
        <v>274</v>
      </c>
      <c r="O4" s="270" t="s">
        <v>274</v>
      </c>
      <c r="P4" s="270" t="s">
        <v>271</v>
      </c>
      <c r="Q4" s="270" t="s">
        <v>274</v>
      </c>
      <c r="R4" s="270" t="s">
        <v>271</v>
      </c>
      <c r="S4" s="270" t="s">
        <v>274</v>
      </c>
      <c r="T4" s="270" t="s">
        <v>274</v>
      </c>
      <c r="V4" s="270" t="s">
        <v>277</v>
      </c>
    </row>
    <row r="5" spans="2:24" x14ac:dyDescent="0.35">
      <c r="B5" s="314"/>
      <c r="C5" s="269" t="s">
        <v>273</v>
      </c>
      <c r="D5" s="269" t="s">
        <v>273</v>
      </c>
      <c r="E5" s="269" t="s">
        <v>273</v>
      </c>
      <c r="F5" s="269" t="s">
        <v>273</v>
      </c>
      <c r="G5" s="269" t="s">
        <v>273</v>
      </c>
      <c r="H5" s="269" t="s">
        <v>273</v>
      </c>
      <c r="I5" s="269" t="s">
        <v>273</v>
      </c>
      <c r="J5" s="269" t="s">
        <v>273</v>
      </c>
      <c r="K5" s="269" t="s">
        <v>273</v>
      </c>
      <c r="L5" s="269" t="s">
        <v>273</v>
      </c>
      <c r="M5" s="269" t="s">
        <v>273</v>
      </c>
      <c r="N5" s="269" t="s">
        <v>273</v>
      </c>
      <c r="O5" s="269" t="s">
        <v>273</v>
      </c>
      <c r="P5" s="269" t="s">
        <v>273</v>
      </c>
      <c r="Q5" s="269" t="s">
        <v>273</v>
      </c>
      <c r="R5" s="269" t="s">
        <v>273</v>
      </c>
      <c r="S5" s="269" t="s">
        <v>273</v>
      </c>
      <c r="T5" s="269" t="s">
        <v>273</v>
      </c>
      <c r="V5" s="269" t="s">
        <v>273</v>
      </c>
    </row>
    <row r="8" spans="2:24" x14ac:dyDescent="0.35">
      <c r="B8" s="312" t="s">
        <v>118</v>
      </c>
      <c r="C8" s="318" t="s">
        <v>267</v>
      </c>
      <c r="D8" s="320"/>
      <c r="E8" s="320"/>
      <c r="F8" s="319"/>
      <c r="G8" s="318" t="s">
        <v>268</v>
      </c>
      <c r="H8" s="320"/>
      <c r="I8" s="320"/>
      <c r="J8" s="319"/>
      <c r="K8" s="315" t="s">
        <v>269</v>
      </c>
      <c r="L8" s="316"/>
      <c r="M8" s="316"/>
      <c r="N8" s="316"/>
      <c r="O8" s="317"/>
      <c r="P8" s="315" t="s">
        <v>270</v>
      </c>
      <c r="Q8" s="316"/>
      <c r="R8" s="316"/>
      <c r="S8" s="316"/>
      <c r="T8" s="317"/>
    </row>
    <row r="9" spans="2:24" x14ac:dyDescent="0.35">
      <c r="B9" s="313"/>
      <c r="C9" s="318" t="s">
        <v>264</v>
      </c>
      <c r="D9" s="319"/>
      <c r="E9" s="318" t="s">
        <v>265</v>
      </c>
      <c r="F9" s="319"/>
      <c r="G9" s="318" t="s">
        <v>264</v>
      </c>
      <c r="H9" s="319"/>
      <c r="I9" s="318" t="s">
        <v>265</v>
      </c>
      <c r="J9" s="319"/>
      <c r="K9" s="315" t="s">
        <v>264</v>
      </c>
      <c r="L9" s="317"/>
      <c r="M9" s="315" t="s">
        <v>265</v>
      </c>
      <c r="N9" s="316"/>
      <c r="O9" s="270" t="s">
        <v>275</v>
      </c>
      <c r="P9" s="315" t="s">
        <v>264</v>
      </c>
      <c r="Q9" s="317"/>
      <c r="R9" s="315" t="s">
        <v>265</v>
      </c>
      <c r="S9" s="316"/>
      <c r="T9" s="270" t="s">
        <v>275</v>
      </c>
    </row>
    <row r="10" spans="2:24" x14ac:dyDescent="0.35">
      <c r="B10" s="313"/>
      <c r="C10" s="268" t="s">
        <v>271</v>
      </c>
      <c r="D10" s="268" t="s">
        <v>272</v>
      </c>
      <c r="E10" s="268" t="s">
        <v>271</v>
      </c>
      <c r="F10" s="268" t="s">
        <v>272</v>
      </c>
      <c r="G10" s="268" t="s">
        <v>271</v>
      </c>
      <c r="H10" s="268" t="s">
        <v>272</v>
      </c>
      <c r="I10" s="268" t="s">
        <v>271</v>
      </c>
      <c r="J10" s="268" t="s">
        <v>272</v>
      </c>
      <c r="K10" s="270" t="s">
        <v>271</v>
      </c>
      <c r="L10" s="270" t="s">
        <v>274</v>
      </c>
      <c r="M10" s="270" t="s">
        <v>271</v>
      </c>
      <c r="N10" s="270" t="s">
        <v>274</v>
      </c>
      <c r="O10" s="270" t="s">
        <v>274</v>
      </c>
      <c r="P10" s="270" t="s">
        <v>271</v>
      </c>
      <c r="Q10" s="270" t="s">
        <v>274</v>
      </c>
      <c r="R10" s="270" t="s">
        <v>271</v>
      </c>
      <c r="S10" s="270" t="s">
        <v>274</v>
      </c>
      <c r="T10" s="270" t="s">
        <v>274</v>
      </c>
      <c r="W10" s="270" t="s">
        <v>279</v>
      </c>
      <c r="X10" s="270" t="s">
        <v>280</v>
      </c>
    </row>
    <row r="11" spans="2:24" x14ac:dyDescent="0.35">
      <c r="B11" s="314"/>
      <c r="C11" s="269" t="s">
        <v>273</v>
      </c>
      <c r="D11" s="269" t="s">
        <v>273</v>
      </c>
      <c r="E11" s="269" t="s">
        <v>273</v>
      </c>
      <c r="F11" s="269" t="s">
        <v>273</v>
      </c>
      <c r="G11" s="269" t="s">
        <v>273</v>
      </c>
      <c r="H11" s="269" t="s">
        <v>273</v>
      </c>
      <c r="I11" s="269" t="s">
        <v>273</v>
      </c>
      <c r="J11" s="269" t="s">
        <v>273</v>
      </c>
      <c r="K11" s="269" t="s">
        <v>273</v>
      </c>
      <c r="L11" s="269" t="s">
        <v>273</v>
      </c>
      <c r="M11" s="269" t="s">
        <v>273</v>
      </c>
      <c r="N11" s="269" t="s">
        <v>273</v>
      </c>
      <c r="O11" s="269" t="s">
        <v>273</v>
      </c>
      <c r="P11" s="269" t="s">
        <v>273</v>
      </c>
      <c r="Q11" s="269" t="s">
        <v>273</v>
      </c>
      <c r="R11" s="269" t="s">
        <v>273</v>
      </c>
      <c r="S11" s="269" t="s">
        <v>273</v>
      </c>
      <c r="T11" s="269" t="s">
        <v>273</v>
      </c>
      <c r="W11" s="269" t="s">
        <v>273</v>
      </c>
      <c r="X11" s="269" t="s">
        <v>273</v>
      </c>
    </row>
    <row r="12" spans="2:24" x14ac:dyDescent="0.35">
      <c r="T12" t="s">
        <v>278</v>
      </c>
    </row>
    <row r="14" spans="2:24" x14ac:dyDescent="0.35">
      <c r="B14" s="312" t="s">
        <v>266</v>
      </c>
      <c r="C14" s="315" t="s">
        <v>269</v>
      </c>
      <c r="D14" s="316"/>
      <c r="E14" s="316"/>
      <c r="F14" s="316"/>
      <c r="G14" s="317"/>
      <c r="H14" s="315" t="s">
        <v>270</v>
      </c>
      <c r="I14" s="316"/>
      <c r="J14" s="316"/>
      <c r="K14" s="316"/>
      <c r="L14" s="317"/>
    </row>
    <row r="15" spans="2:24" x14ac:dyDescent="0.35">
      <c r="B15" s="313"/>
      <c r="C15" s="315" t="s">
        <v>264</v>
      </c>
      <c r="D15" s="317"/>
      <c r="E15" s="315" t="s">
        <v>265</v>
      </c>
      <c r="F15" s="316"/>
      <c r="G15" s="270" t="s">
        <v>275</v>
      </c>
      <c r="H15" s="315" t="s">
        <v>264</v>
      </c>
      <c r="I15" s="317"/>
      <c r="J15" s="315" t="s">
        <v>265</v>
      </c>
      <c r="K15" s="316"/>
      <c r="L15" s="270" t="s">
        <v>275</v>
      </c>
      <c r="Q15" s="270" t="s">
        <v>277</v>
      </c>
    </row>
    <row r="16" spans="2:24" x14ac:dyDescent="0.35">
      <c r="B16" s="313"/>
      <c r="C16" s="270" t="s">
        <v>271</v>
      </c>
      <c r="D16" s="270" t="s">
        <v>274</v>
      </c>
      <c r="E16" s="270" t="s">
        <v>271</v>
      </c>
      <c r="F16" s="270" t="s">
        <v>274</v>
      </c>
      <c r="G16" s="270" t="s">
        <v>274</v>
      </c>
      <c r="H16" s="270" t="s">
        <v>271</v>
      </c>
      <c r="I16" s="270" t="s">
        <v>274</v>
      </c>
      <c r="J16" s="270" t="s">
        <v>271</v>
      </c>
      <c r="K16" s="270" t="s">
        <v>274</v>
      </c>
      <c r="L16" s="270" t="s">
        <v>274</v>
      </c>
      <c r="Q16" s="269" t="s">
        <v>273</v>
      </c>
      <c r="R16" t="s">
        <v>281</v>
      </c>
    </row>
    <row r="17" spans="2:17" x14ac:dyDescent="0.35">
      <c r="B17" s="314"/>
      <c r="C17" s="269" t="s">
        <v>273</v>
      </c>
      <c r="D17" s="269" t="s">
        <v>273</v>
      </c>
      <c r="E17" s="269" t="s">
        <v>273</v>
      </c>
      <c r="F17" s="269" t="s">
        <v>273</v>
      </c>
      <c r="G17" s="269" t="s">
        <v>273</v>
      </c>
      <c r="H17" s="269" t="s">
        <v>273</v>
      </c>
      <c r="I17" s="269" t="s">
        <v>273</v>
      </c>
      <c r="J17" s="269" t="s">
        <v>273</v>
      </c>
      <c r="K17" s="269" t="s">
        <v>273</v>
      </c>
      <c r="L17" s="269" t="s">
        <v>273</v>
      </c>
      <c r="M17" s="274" t="s">
        <v>283</v>
      </c>
    </row>
    <row r="20" spans="2:17" x14ac:dyDescent="0.35">
      <c r="B20" s="312" t="s">
        <v>14</v>
      </c>
      <c r="C20" s="315" t="s">
        <v>269</v>
      </c>
      <c r="D20" s="316"/>
      <c r="E20" s="316"/>
      <c r="F20" s="316"/>
      <c r="G20" s="317"/>
      <c r="H20" s="315" t="s">
        <v>270</v>
      </c>
      <c r="I20" s="316"/>
      <c r="J20" s="316"/>
      <c r="K20" s="316"/>
      <c r="L20" s="317"/>
    </row>
    <row r="21" spans="2:17" x14ac:dyDescent="0.35">
      <c r="B21" s="313"/>
      <c r="C21" s="271" t="s">
        <v>264</v>
      </c>
      <c r="D21" s="273"/>
      <c r="E21" s="271" t="s">
        <v>265</v>
      </c>
      <c r="F21" s="272"/>
      <c r="G21" s="270" t="s">
        <v>275</v>
      </c>
      <c r="H21" s="315" t="s">
        <v>264</v>
      </c>
      <c r="I21" s="317"/>
      <c r="J21" s="315" t="s">
        <v>265</v>
      </c>
      <c r="K21" s="316"/>
      <c r="L21" s="270" t="s">
        <v>275</v>
      </c>
    </row>
    <row r="22" spans="2:17" x14ac:dyDescent="0.35">
      <c r="B22" s="313"/>
      <c r="C22" s="270" t="s">
        <v>271</v>
      </c>
      <c r="D22" s="270" t="s">
        <v>274</v>
      </c>
      <c r="E22" s="270" t="s">
        <v>271</v>
      </c>
      <c r="F22" s="270" t="s">
        <v>274</v>
      </c>
      <c r="G22" s="270" t="s">
        <v>274</v>
      </c>
      <c r="H22" s="270" t="s">
        <v>271</v>
      </c>
      <c r="I22" s="270" t="s">
        <v>274</v>
      </c>
      <c r="J22" s="270" t="s">
        <v>271</v>
      </c>
      <c r="K22" s="270" t="s">
        <v>274</v>
      </c>
      <c r="L22" s="270" t="s">
        <v>274</v>
      </c>
      <c r="Q22" s="270" t="s">
        <v>277</v>
      </c>
    </row>
    <row r="23" spans="2:17" x14ac:dyDescent="0.35">
      <c r="B23" s="314"/>
      <c r="C23" s="269" t="s">
        <v>273</v>
      </c>
      <c r="D23" s="269" t="s">
        <v>273</v>
      </c>
      <c r="E23" s="269" t="s">
        <v>273</v>
      </c>
      <c r="F23" s="269" t="s">
        <v>273</v>
      </c>
      <c r="G23" s="269" t="s">
        <v>273</v>
      </c>
      <c r="H23" s="269" t="s">
        <v>273</v>
      </c>
      <c r="I23" s="269" t="s">
        <v>273</v>
      </c>
      <c r="J23" s="269" t="s">
        <v>273</v>
      </c>
      <c r="K23" s="269" t="s">
        <v>273</v>
      </c>
      <c r="L23" s="269" t="s">
        <v>273</v>
      </c>
      <c r="M23" s="274" t="s">
        <v>282</v>
      </c>
      <c r="Q23" s="269" t="s">
        <v>273</v>
      </c>
    </row>
  </sheetData>
  <mergeCells count="38"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  <mergeCell ref="M3:N3"/>
    <mergeCell ref="K8:O8"/>
    <mergeCell ref="P8:T8"/>
    <mergeCell ref="P9:Q9"/>
    <mergeCell ref="R9:S9"/>
    <mergeCell ref="C9:D9"/>
    <mergeCell ref="E9:F9"/>
    <mergeCell ref="G9:H9"/>
    <mergeCell ref="I9:J9"/>
    <mergeCell ref="K9:L9"/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A4" sqref="A4:A7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87" t="s">
        <v>123</v>
      </c>
      <c r="B1" s="85"/>
      <c r="C1" s="85"/>
      <c r="D1" s="85"/>
      <c r="E1" s="86"/>
      <c r="F1" s="86"/>
      <c r="G1" s="73"/>
      <c r="H1" s="73"/>
      <c r="I1" s="73"/>
      <c r="J1" s="73"/>
      <c r="K1" s="73"/>
      <c r="L1" s="73"/>
      <c r="M1" s="73"/>
    </row>
    <row r="2" spans="1:14" x14ac:dyDescent="0.35">
      <c r="A2" s="74" t="s">
        <v>123</v>
      </c>
      <c r="B2" s="75" t="s">
        <v>124</v>
      </c>
      <c r="C2" s="75" t="s">
        <v>124</v>
      </c>
      <c r="D2" s="75" t="s">
        <v>124</v>
      </c>
      <c r="E2" s="76" t="s">
        <v>124</v>
      </c>
      <c r="F2" s="76" t="s">
        <v>248</v>
      </c>
      <c r="G2" s="75"/>
      <c r="H2" s="75"/>
      <c r="I2" s="75"/>
      <c r="J2" s="75"/>
      <c r="K2" s="75"/>
      <c r="L2" s="75"/>
      <c r="M2" s="75"/>
    </row>
    <row r="3" spans="1:14" x14ac:dyDescent="0.35">
      <c r="A3" s="77"/>
      <c r="B3" s="78" t="s">
        <v>14</v>
      </c>
      <c r="C3" s="78" t="s">
        <v>17</v>
      </c>
      <c r="D3" s="78" t="s">
        <v>46</v>
      </c>
      <c r="E3" s="79" t="s">
        <v>15</v>
      </c>
      <c r="F3" s="79"/>
      <c r="G3" s="79" t="s">
        <v>125</v>
      </c>
      <c r="H3" s="79" t="s">
        <v>158</v>
      </c>
      <c r="I3" s="79" t="s">
        <v>157</v>
      </c>
      <c r="J3" s="79" t="s">
        <v>156</v>
      </c>
      <c r="K3" s="79" t="s">
        <v>254</v>
      </c>
      <c r="L3" s="79" t="s">
        <v>255</v>
      </c>
      <c r="M3" s="79" t="s">
        <v>209</v>
      </c>
      <c r="N3" s="79" t="s">
        <v>213</v>
      </c>
    </row>
    <row r="4" spans="1:14" x14ac:dyDescent="0.35">
      <c r="A4" s="12" t="s">
        <v>14</v>
      </c>
      <c r="B4" s="29" t="s">
        <v>126</v>
      </c>
      <c r="C4" s="29" t="s">
        <v>127</v>
      </c>
      <c r="D4" s="29" t="s">
        <v>128</v>
      </c>
      <c r="E4" s="80" t="s">
        <v>15</v>
      </c>
      <c r="F4" s="81" t="s">
        <v>15</v>
      </c>
      <c r="G4" s="80" t="s">
        <v>129</v>
      </c>
      <c r="H4" s="80" t="s">
        <v>155</v>
      </c>
      <c r="I4" t="s">
        <v>154</v>
      </c>
      <c r="J4" t="s">
        <v>155</v>
      </c>
      <c r="K4" t="s">
        <v>159</v>
      </c>
      <c r="L4" t="s">
        <v>160</v>
      </c>
      <c r="M4" t="s">
        <v>208</v>
      </c>
    </row>
    <row r="5" spans="1:14" x14ac:dyDescent="0.35">
      <c r="A5" s="81" t="s">
        <v>17</v>
      </c>
      <c r="B5" s="29" t="s">
        <v>130</v>
      </c>
      <c r="C5" s="29" t="s">
        <v>131</v>
      </c>
      <c r="D5" s="29" t="s">
        <v>145</v>
      </c>
      <c r="E5" s="80"/>
      <c r="F5" s="81" t="s">
        <v>46</v>
      </c>
      <c r="G5" s="29" t="s">
        <v>132</v>
      </c>
      <c r="H5" s="29" t="s">
        <v>24</v>
      </c>
      <c r="I5" s="29"/>
      <c r="K5" t="s">
        <v>140</v>
      </c>
      <c r="L5" t="s">
        <v>140</v>
      </c>
      <c r="M5" t="s">
        <v>210</v>
      </c>
    </row>
    <row r="6" spans="1:14" x14ac:dyDescent="0.35">
      <c r="A6" s="81" t="s">
        <v>46</v>
      </c>
      <c r="B6" s="29" t="s">
        <v>133</v>
      </c>
      <c r="C6" s="29" t="s">
        <v>134</v>
      </c>
      <c r="D6" s="29" t="s">
        <v>146</v>
      </c>
      <c r="E6" s="80"/>
      <c r="F6" s="80"/>
      <c r="G6" s="29"/>
      <c r="M6" t="s">
        <v>211</v>
      </c>
    </row>
    <row r="7" spans="1:14" x14ac:dyDescent="0.35">
      <c r="A7" s="81" t="s">
        <v>15</v>
      </c>
      <c r="B7" s="29" t="s">
        <v>135</v>
      </c>
      <c r="C7" s="29" t="s">
        <v>19</v>
      </c>
      <c r="D7" s="29" t="s">
        <v>147</v>
      </c>
      <c r="E7" s="80"/>
      <c r="F7" s="80"/>
      <c r="G7" s="29"/>
      <c r="M7" t="s">
        <v>212</v>
      </c>
    </row>
    <row r="8" spans="1:14" x14ac:dyDescent="0.35">
      <c r="A8" s="81"/>
      <c r="B8" s="29" t="s">
        <v>141</v>
      </c>
      <c r="C8" s="29"/>
      <c r="D8" s="41" t="s">
        <v>148</v>
      </c>
      <c r="E8" s="80"/>
      <c r="F8" s="80"/>
      <c r="G8" s="29"/>
    </row>
    <row r="9" spans="1:14" x14ac:dyDescent="0.35">
      <c r="A9" s="81"/>
      <c r="B9" s="12" t="s">
        <v>142</v>
      </c>
      <c r="C9" s="29"/>
      <c r="D9" s="41" t="s">
        <v>137</v>
      </c>
      <c r="E9" s="80"/>
      <c r="F9" s="80"/>
      <c r="G9" s="29"/>
    </row>
    <row r="10" spans="1:14" x14ac:dyDescent="0.35">
      <c r="A10" s="81"/>
      <c r="B10" s="12" t="s">
        <v>143</v>
      </c>
      <c r="C10" s="29"/>
      <c r="D10" s="41"/>
      <c r="E10" s="80"/>
      <c r="F10" s="80"/>
      <c r="G10" s="29"/>
    </row>
    <row r="11" spans="1:14" x14ac:dyDescent="0.35">
      <c r="A11" s="81"/>
      <c r="B11" s="29" t="s">
        <v>136</v>
      </c>
      <c r="C11" s="29"/>
      <c r="D11" s="29"/>
      <c r="E11" s="80"/>
      <c r="F11" s="80"/>
      <c r="G11" s="29"/>
    </row>
    <row r="12" spans="1:14" x14ac:dyDescent="0.35">
      <c r="B12" s="29" t="s">
        <v>144</v>
      </c>
      <c r="G12" s="7"/>
    </row>
    <row r="13" spans="1:14" x14ac:dyDescent="0.35">
      <c r="B13" s="29" t="s">
        <v>138</v>
      </c>
      <c r="G13" s="7"/>
    </row>
    <row r="14" spans="1:14" x14ac:dyDescent="0.35">
      <c r="A14" s="81"/>
      <c r="B14" s="29" t="s">
        <v>139</v>
      </c>
      <c r="C14" s="29"/>
      <c r="D14" s="29"/>
      <c r="E14" s="80"/>
      <c r="F14" s="80"/>
      <c r="G14" s="29"/>
    </row>
    <row r="15" spans="1:14" x14ac:dyDescent="0.35">
      <c r="A15" s="81"/>
      <c r="C15" s="29"/>
      <c r="D15" s="29"/>
      <c r="E15" s="80"/>
      <c r="F15" s="80"/>
      <c r="G15" s="29"/>
    </row>
    <row r="16" spans="1:14" x14ac:dyDescent="0.35">
      <c r="A16" s="81"/>
      <c r="B16" s="29"/>
      <c r="C16" s="29"/>
      <c r="D16" s="29"/>
      <c r="E16" s="80"/>
      <c r="F16" s="80"/>
      <c r="G16" s="29"/>
    </row>
    <row r="17" spans="1:7" x14ac:dyDescent="0.35">
      <c r="A17" s="81"/>
      <c r="B17" s="29"/>
      <c r="C17" s="29"/>
      <c r="D17" s="29"/>
      <c r="E17" s="80"/>
      <c r="F17" s="80"/>
      <c r="G17" s="29"/>
    </row>
    <row r="18" spans="1:7" x14ac:dyDescent="0.35">
      <c r="A18" s="82"/>
      <c r="B18" s="29"/>
      <c r="C18" s="83"/>
      <c r="D18" s="29"/>
      <c r="E18" s="84"/>
      <c r="F18" s="84"/>
      <c r="G18" s="29"/>
    </row>
    <row r="19" spans="1:7" x14ac:dyDescent="0.35">
      <c r="A19" s="81"/>
      <c r="B19" s="29"/>
      <c r="C19" s="29"/>
      <c r="D19" s="29"/>
      <c r="E19" s="80"/>
      <c r="F19" s="80"/>
      <c r="G19" s="29"/>
    </row>
    <row r="20" spans="1:7" x14ac:dyDescent="0.35">
      <c r="A20" s="81"/>
      <c r="B20" s="29"/>
      <c r="C20" s="29"/>
      <c r="D20" s="29"/>
      <c r="E20" s="80"/>
      <c r="F20" s="80"/>
      <c r="G20" s="29"/>
    </row>
    <row r="21" spans="1:7" x14ac:dyDescent="0.35">
      <c r="A21" s="81"/>
      <c r="B21" s="29"/>
      <c r="C21" s="29"/>
      <c r="D21" s="29"/>
      <c r="E21" s="80"/>
      <c r="F21" s="80"/>
      <c r="G21" s="29"/>
    </row>
    <row r="22" spans="1:7" x14ac:dyDescent="0.35">
      <c r="A22" s="81"/>
      <c r="B22" s="29"/>
      <c r="C22" s="29"/>
      <c r="D22" s="29"/>
      <c r="E22" s="80"/>
      <c r="F22" s="80"/>
      <c r="G22" s="29"/>
    </row>
    <row r="23" spans="1:7" x14ac:dyDescent="0.35">
      <c r="A23" s="81"/>
      <c r="B23" s="29"/>
      <c r="C23" s="41"/>
      <c r="D23" s="29"/>
      <c r="E23" s="80"/>
      <c r="F23" s="80"/>
      <c r="G23" s="29"/>
    </row>
    <row r="24" spans="1:7" x14ac:dyDescent="0.35">
      <c r="A24" s="81"/>
      <c r="B24" s="29"/>
      <c r="C24" s="41"/>
      <c r="D24" s="29"/>
      <c r="E24" s="80"/>
      <c r="F24" s="80"/>
      <c r="G24" s="29"/>
    </row>
    <row r="25" spans="1:7" x14ac:dyDescent="0.35">
      <c r="A25" s="81"/>
      <c r="B25" s="29"/>
      <c r="C25" s="29"/>
      <c r="D25" s="29"/>
      <c r="E25" s="80"/>
      <c r="F25" s="80"/>
      <c r="G25" s="29"/>
    </row>
    <row r="26" spans="1:7" x14ac:dyDescent="0.35">
      <c r="A26" s="81"/>
      <c r="B26" s="29"/>
      <c r="C26" s="29"/>
      <c r="D26" s="29"/>
      <c r="E26" s="80"/>
      <c r="F26" s="80"/>
      <c r="G26" s="29"/>
    </row>
    <row r="27" spans="1:7" x14ac:dyDescent="0.35">
      <c r="A27" s="81"/>
      <c r="B27" s="29"/>
      <c r="C27" s="29"/>
      <c r="D27" s="29"/>
      <c r="E27" s="80"/>
      <c r="F27" s="80"/>
      <c r="G27" s="29"/>
    </row>
    <row r="28" spans="1:7" x14ac:dyDescent="0.35">
      <c r="A28" s="81"/>
      <c r="B28" s="29"/>
      <c r="C28" s="29"/>
      <c r="D28" s="29"/>
      <c r="E28" s="80"/>
      <c r="F28" s="80"/>
      <c r="G28" s="29"/>
    </row>
    <row r="29" spans="1:7" x14ac:dyDescent="0.35">
      <c r="A29" s="81"/>
      <c r="B29" s="29"/>
      <c r="C29" s="29"/>
      <c r="D29" s="29"/>
      <c r="E29" s="80"/>
      <c r="F29" s="80"/>
      <c r="G29" s="29"/>
    </row>
    <row r="30" spans="1:7" x14ac:dyDescent="0.35">
      <c r="A30" s="81"/>
      <c r="B30" s="29"/>
      <c r="C30" s="29"/>
      <c r="D30" s="29"/>
      <c r="E30" s="80"/>
      <c r="F30" s="80"/>
      <c r="G30" s="29"/>
    </row>
    <row r="31" spans="1:7" x14ac:dyDescent="0.35">
      <c r="A31" s="81"/>
      <c r="B31" s="29"/>
      <c r="C31" s="29"/>
      <c r="D31" s="29"/>
      <c r="E31" s="80"/>
      <c r="F31" s="80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2026-02-19T16:04:30Z</dcterms:modified>
</cp:coreProperties>
</file>