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Forms/Calculators/"/>
    </mc:Choice>
  </mc:AlternateContent>
  <xr:revisionPtr revIDLastSave="0" documentId="8_{38BE94B6-0747-43D9-8DE9-19492383691F}" xr6:coauthVersionLast="47" xr6:coauthVersionMax="47" xr10:uidLastSave="{00000000-0000-0000-0000-000000000000}"/>
  <workbookProtection workbookAlgorithmName="SHA-512" workbookHashValue="izXv9gCgpGiuSMx5jUSeLzYB5wMetT4EQCp6MYvth9T7pDi1gYXI129T9bX+X+TJpZDbXGkQg++dRncWCurQ3A==" workbookSaltValue="9w287xRnLBv7H8eAtG63rA==" workbookSpinCount="100000" lockStructure="1"/>
  <bookViews>
    <workbookView xWindow="28690" yWindow="-5360" windowWidth="30940" windowHeight="1690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</definedName>
    <definedName name="_xlnm.Print_Area" localSheetId="0">'Trial Pricing Calculator 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A13" i="1"/>
  <c r="K18" i="1"/>
  <c r="J18" i="1"/>
  <c r="I18" i="1"/>
  <c r="K13" i="1"/>
  <c r="J13" i="1"/>
  <c r="I13" i="1"/>
  <c r="H13" i="1"/>
  <c r="G13" i="1"/>
  <c r="D19" i="1"/>
  <c r="C19" i="1"/>
  <c r="B19" i="1"/>
  <c r="A19" i="1"/>
  <c r="F15" i="7" l="1"/>
  <c r="AB4" i="2" l="1"/>
  <c r="AB5" i="2"/>
  <c r="AB6" i="2"/>
  <c r="AB7" i="2"/>
  <c r="AB8" i="2"/>
  <c r="AB9" i="2"/>
  <c r="AB10" i="2"/>
  <c r="AB11" i="2"/>
  <c r="AB12" i="2"/>
  <c r="AB13" i="2"/>
  <c r="AB14" i="2"/>
  <c r="AB15" i="2"/>
  <c r="AB16" i="2"/>
  <c r="AD3" i="2"/>
  <c r="AY46" i="5" l="1"/>
  <c r="AY45" i="5"/>
  <c r="AY44" i="5"/>
  <c r="AY43" i="5"/>
  <c r="AY42" i="5"/>
  <c r="AY41" i="5"/>
  <c r="AY40" i="5"/>
  <c r="AY39" i="5"/>
  <c r="AY38" i="5"/>
  <c r="AY37" i="5"/>
  <c r="AY36" i="5"/>
  <c r="AY35" i="5"/>
  <c r="AY34" i="5"/>
  <c r="AY33" i="5"/>
  <c r="AY32" i="5"/>
  <c r="AY31" i="5"/>
  <c r="AY30" i="5"/>
  <c r="AY29" i="5"/>
  <c r="AY28" i="5"/>
  <c r="AY27" i="5"/>
  <c r="AY26" i="5"/>
  <c r="AY25" i="5"/>
  <c r="AY24" i="5"/>
  <c r="AY23" i="5"/>
  <c r="AY22" i="5"/>
  <c r="AY21" i="5"/>
  <c r="AY20" i="5"/>
  <c r="AY19" i="5"/>
  <c r="AY18" i="5"/>
  <c r="AY17" i="5"/>
  <c r="AY16" i="5"/>
  <c r="AY15" i="5"/>
  <c r="AY14" i="5"/>
  <c r="AY13" i="5"/>
  <c r="AY12" i="5"/>
  <c r="AY11" i="5"/>
  <c r="AY10" i="5"/>
  <c r="AY9" i="5"/>
  <c r="AY8" i="5"/>
  <c r="AY7" i="5"/>
  <c r="AY6" i="5"/>
  <c r="AY5" i="5"/>
  <c r="AY4" i="5"/>
  <c r="AY3" i="5"/>
  <c r="AL45" i="5"/>
  <c r="AL44" i="5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5"/>
  <c r="AL4" i="5"/>
  <c r="Z14" i="5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K17" i="7" l="1"/>
  <c r="K19" i="7" l="1"/>
  <c r="K25" i="1" l="1"/>
  <c r="C11" i="7" l="1"/>
  <c r="C22" i="7" l="1"/>
  <c r="C42" i="7"/>
  <c r="F42" i="7" s="1"/>
  <c r="K16" i="7" l="1"/>
  <c r="K14" i="7"/>
  <c r="K13" i="7"/>
  <c r="K21" i="7"/>
  <c r="K15" i="7"/>
  <c r="Z13" i="5"/>
  <c r="Z12" i="5"/>
  <c r="Z11" i="5"/>
  <c r="Z10" i="5"/>
  <c r="Z9" i="5"/>
  <c r="Z8" i="5"/>
  <c r="Z7" i="5"/>
  <c r="Z6" i="5"/>
  <c r="Z5" i="5"/>
  <c r="Z4" i="5"/>
  <c r="AL3" i="5"/>
  <c r="Z3" i="5"/>
  <c r="M2" i="4"/>
  <c r="Q3" i="2"/>
  <c r="B7" i="1" l="1"/>
  <c r="B4" i="1"/>
  <c r="A7" i="1"/>
  <c r="F41" i="7"/>
  <c r="C7" i="1"/>
  <c r="F40" i="7"/>
  <c r="F32" i="7"/>
  <c r="C4" i="1"/>
  <c r="K18" i="7"/>
  <c r="D7" i="1"/>
  <c r="F33" i="7"/>
  <c r="D16" i="1"/>
  <c r="C16" i="1"/>
  <c r="B16" i="1"/>
  <c r="A16" i="1"/>
  <c r="K22" i="1"/>
  <c r="H10" i="1" l="1"/>
  <c r="G10" i="1"/>
  <c r="I10" i="1"/>
  <c r="I16" i="1"/>
  <c r="G22" i="1"/>
  <c r="H22" i="1"/>
  <c r="I22" i="1"/>
  <c r="J22" i="1"/>
  <c r="A4" i="1"/>
  <c r="F34" i="7" s="1"/>
  <c r="F39" i="7"/>
  <c r="F35" i="7"/>
  <c r="F38" i="7"/>
  <c r="G5" i="1" l="1"/>
  <c r="A10" i="1" s="1"/>
  <c r="H5" i="1"/>
  <c r="B10" i="1" s="1"/>
  <c r="G46" i="7"/>
  <c r="K30" i="7"/>
  <c r="K16" i="1" l="1"/>
  <c r="K10" i="1"/>
  <c r="J16" i="1"/>
  <c r="J10" i="1"/>
  <c r="I5" i="1"/>
  <c r="C10" i="1" s="1"/>
  <c r="J5" i="1" l="1"/>
  <c r="K5" i="1"/>
  <c r="D10" i="1" l="1"/>
  <c r="F37" i="7" s="1"/>
  <c r="K37" i="7" s="1"/>
  <c r="G45" i="7" s="1"/>
</calcChain>
</file>

<file path=xl/sharedStrings.xml><?xml version="1.0" encoding="utf-8"?>
<sst xmlns="http://schemas.openxmlformats.org/spreadsheetml/2006/main" count="1377" uniqueCount="1016">
  <si>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</si>
  <si>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</si>
  <si>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</si>
  <si>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</si>
  <si>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</si>
  <si>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</si>
  <si>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</si>
  <si>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</si>
  <si>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</si>
  <si>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</si>
  <si>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</si>
  <si>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</si>
  <si>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</si>
  <si>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</si>
  <si>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</si>
  <si>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</si>
  <si>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</si>
  <si>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</si>
  <si>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</si>
  <si>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</si>
  <si>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</si>
  <si>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</si>
  <si>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</si>
  <si>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</si>
  <si>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</si>
  <si>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</si>
  <si>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</si>
  <si>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</si>
  <si>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</si>
  <si>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</si>
  <si>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</si>
  <si>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</si>
  <si>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</si>
  <si>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</si>
  <si>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</si>
  <si>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</si>
  <si>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</si>
  <si>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</si>
  <si>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</si>
  <si>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</si>
  <si>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</si>
  <si>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</si>
  <si>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</si>
  <si>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</si>
  <si>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</si>
  <si>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</si>
  <si>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</si>
  <si>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</si>
  <si>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</si>
  <si>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</si>
  <si>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</si>
  <si>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</si>
  <si>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</si>
  <si>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</si>
  <si>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</si>
  <si>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</si>
  <si>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</si>
  <si>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</si>
  <si>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</si>
  <si>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</si>
  <si>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</si>
  <si>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</si>
  <si>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</si>
  <si>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</si>
  <si>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</si>
  <si>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</si>
  <si>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</si>
  <si>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</si>
  <si>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</si>
  <si>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</si>
  <si>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</si>
  <si>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</si>
  <si>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</si>
  <si>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</si>
  <si>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</si>
  <si>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</si>
  <si>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</si>
  <si>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</si>
  <si>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</si>
  <si>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</si>
  <si>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</si>
  <si>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</si>
  <si>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</si>
  <si>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</si>
  <si>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</si>
  <si>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</si>
  <si>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</si>
  <si>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</si>
  <si>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</si>
  <si>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</si>
  <si>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</si>
  <si>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</si>
  <si>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</si>
  <si>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</si>
  <si>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</si>
  <si>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</si>
  <si>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</si>
  <si>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</si>
  <si>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</si>
  <si>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</si>
  <si>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</si>
  <si>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</si>
  <si>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</si>
  <si>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</si>
  <si>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</si>
  <si>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</si>
  <si>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</si>
  <si>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</si>
  <si>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</si>
  <si>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</si>
  <si>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</si>
  <si>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</si>
  <si>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</si>
  <si>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</si>
  <si>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</si>
  <si>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</si>
  <si>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</si>
  <si>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</si>
  <si>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</si>
  <si>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</si>
  <si>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</si>
  <si>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</si>
  <si>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</si>
  <si>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</si>
  <si>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</si>
  <si>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</si>
  <si>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</si>
  <si>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</si>
  <si>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</si>
  <si>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</si>
  <si>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</si>
  <si>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</si>
  <si>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</si>
  <si>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</si>
  <si>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</si>
  <si>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</si>
  <si>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</si>
  <si>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</si>
  <si>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</si>
  <si>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</si>
  <si>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</si>
  <si>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</si>
  <si>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</si>
  <si>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</si>
  <si>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</si>
  <si>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</si>
  <si>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</si>
  <si>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</si>
  <si>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</si>
  <si>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</si>
  <si>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</si>
  <si>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</si>
  <si>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</si>
  <si>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</si>
  <si>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</si>
  <si>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</si>
  <si>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</si>
  <si>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</si>
  <si>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</si>
  <si>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</si>
  <si>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</si>
  <si>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</si>
  <si>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</si>
  <si>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</si>
  <si>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</si>
  <si>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</si>
  <si>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</si>
  <si>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</si>
  <si>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</si>
  <si>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</si>
  <si>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</si>
  <si>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</si>
  <si>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</si>
  <si>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</si>
  <si>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</si>
  <si>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</si>
  <si>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</si>
  <si>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</si>
  <si>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</si>
  <si>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</si>
  <si>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</si>
  <si>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</si>
  <si>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</si>
  <si>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</si>
  <si>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</si>
  <si>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</si>
  <si>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</si>
  <si>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</si>
  <si>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</si>
  <si>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</si>
  <si>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</si>
  <si>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</si>
  <si>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</si>
  <si>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</si>
  <si>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</si>
  <si>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</si>
  <si>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</si>
  <si>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</si>
  <si>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</si>
  <si>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</si>
  <si>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</si>
  <si>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</si>
  <si>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</si>
  <si>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</si>
  <si>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</si>
  <si>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</si>
  <si>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</si>
  <si>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</si>
  <si>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</si>
  <si>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</si>
  <si>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</si>
  <si>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</si>
  <si>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</si>
  <si>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</si>
  <si>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</si>
  <si>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</si>
  <si>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</si>
  <si>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</si>
  <si>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</si>
  <si>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</si>
  <si>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</si>
  <si>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</si>
  <si>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</si>
  <si>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</si>
  <si>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</si>
  <si>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</si>
  <si>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</si>
  <si>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</si>
  <si>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</si>
  <si>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</si>
  <si>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</si>
  <si>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</si>
  <si>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</si>
  <si>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</si>
  <si>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</si>
  <si>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</si>
  <si>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</si>
  <si>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</si>
  <si>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</si>
  <si>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</si>
  <si>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</si>
  <si>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</si>
  <si>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</si>
  <si>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MM1865</t>
  </si>
  <si>
    <t>Wine 4x200 ml</t>
  </si>
  <si>
    <t>MM1931</t>
  </si>
  <si>
    <t>Wine 4x250 ml</t>
  </si>
  <si>
    <t>MM2125</t>
  </si>
  <si>
    <t>Wine 4x500 ml</t>
  </si>
  <si>
    <t>MM1960</t>
  </si>
  <si>
    <t>Wine 6x187 ml</t>
  </si>
  <si>
    <t>MM1329</t>
  </si>
  <si>
    <t>Wine 6x50 ml</t>
  </si>
  <si>
    <t>MM2225</t>
  </si>
  <si>
    <t>Wine 6x750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</si>
  <si>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</si>
  <si>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</si>
  <si>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</si>
  <si>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</si>
  <si>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</si>
  <si>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</si>
  <si>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</si>
  <si>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</si>
  <si>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</si>
  <si>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</si>
  <si>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</si>
  <si>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</si>
  <si>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</si>
  <si>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</si>
  <si>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</si>
  <si>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</si>
  <si>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</si>
  <si>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</si>
  <si>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</si>
  <si>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</si>
  <si>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</si>
  <si>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</si>
  <si>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</si>
  <si>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</si>
  <si>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</si>
  <si>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</si>
  <si>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</si>
  <si>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</si>
  <si>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</si>
  <si>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</si>
  <si>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</si>
  <si>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</si>
  <si>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</si>
  <si>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</si>
  <si>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</si>
  <si>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</si>
  <si>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</si>
  <si>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</si>
  <si>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</si>
  <si>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</si>
  <si>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</si>
  <si>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</si>
  <si>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</si>
  <si>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</si>
  <si>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</si>
  <si>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</si>
  <si>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</si>
  <si>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</si>
  <si>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</si>
  <si>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</si>
  <si>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</si>
  <si>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</si>
  <si>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</si>
  <si>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</si>
  <si>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</si>
  <si>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</si>
  <si>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</si>
  <si>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</si>
  <si>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</si>
  <si>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</si>
  <si>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</si>
  <si>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</si>
  <si>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</si>
  <si>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</si>
  <si>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</si>
  <si>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</si>
  <si>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</si>
  <si>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</si>
  <si>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</si>
  <si>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</si>
  <si>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</si>
  <si>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</si>
  <si>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</si>
  <si>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</si>
  <si>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</si>
  <si>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</si>
  <si>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</si>
  <si>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</si>
  <si>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</si>
  <si>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</si>
  <si>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</si>
  <si>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</si>
  <si>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</si>
  <si>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</si>
  <si>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</si>
  <si>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</si>
  <si>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</si>
  <si>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</si>
  <si>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</si>
  <si>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</si>
  <si>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</si>
  <si>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</si>
  <si>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</si>
  <si>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</si>
  <si>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</si>
  <si>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</si>
  <si>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</si>
  <si>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</si>
  <si>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</si>
  <si>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</si>
  <si>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</si>
  <si>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</si>
  <si>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</si>
  <si>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</si>
  <si>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</si>
  <si>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</si>
  <si>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</si>
  <si>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</si>
  <si>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</si>
  <si>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</si>
  <si>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</si>
  <si>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</si>
  <si>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</si>
  <si>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</si>
  <si>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</si>
  <si>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</si>
  <si>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</si>
  <si>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</si>
  <si>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</si>
  <si>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</si>
  <si>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</si>
  <si>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</si>
  <si>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</si>
  <si>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</si>
  <si>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</si>
  <si>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</si>
  <si>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</si>
  <si>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</si>
  <si>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</si>
  <si>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</si>
  <si>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</si>
  <si>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</si>
  <si>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</si>
  <si>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</si>
  <si>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</si>
  <si>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</si>
  <si>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</si>
  <si>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</si>
  <si>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</si>
  <si>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</si>
  <si>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</si>
  <si>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</si>
  <si>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</si>
  <si>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</si>
  <si>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</si>
  <si>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</si>
  <si>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</si>
  <si>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</si>
  <si>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</si>
  <si>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</si>
  <si>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</si>
  <si>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</si>
  <si>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</si>
  <si>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</si>
  <si>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</si>
  <si>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</si>
  <si>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</si>
  <si>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</si>
  <si>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</si>
  <si>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</si>
  <si>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</si>
  <si>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</si>
  <si>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</si>
  <si>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</si>
  <si>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</si>
  <si>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</si>
  <si>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</si>
  <si>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</si>
  <si>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</si>
  <si>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</si>
  <si>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</si>
  <si>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</si>
  <si>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</si>
  <si>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</si>
  <si>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</si>
  <si>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</si>
  <si>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</si>
  <si>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</si>
  <si>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</si>
  <si>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</si>
  <si>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</si>
  <si>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</si>
  <si>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</si>
  <si>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</si>
  <si>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</si>
  <si>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</si>
  <si>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</si>
  <si>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</si>
  <si>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</si>
  <si>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</si>
  <si>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</si>
  <si>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</si>
  <si>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</si>
  <si>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</si>
  <si>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</si>
  <si>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</si>
  <si>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</si>
  <si>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</si>
  <si>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</si>
  <si>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</si>
  <si>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</si>
  <si>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</si>
  <si>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</si>
  <si>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</si>
  <si>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</si>
  <si>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</si>
  <si>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</si>
  <si>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</si>
  <si>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</si>
  <si>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</si>
  <si>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</si>
  <si>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</si>
  <si>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</si>
  <si>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</si>
  <si>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</si>
  <si>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</si>
  <si>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</si>
  <si>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</si>
  <si>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</si>
  <si>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</si>
  <si>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</si>
  <si>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</si>
  <si>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</si>
  <si>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</si>
  <si>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</si>
  <si>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</si>
  <si>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</si>
  <si>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</si>
  <si>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</si>
  <si>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</si>
  <si>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</si>
  <si>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</si>
  <si>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</si>
  <si>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</si>
  <si>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</si>
  <si>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</si>
  <si>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</si>
  <si>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</si>
  <si>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</si>
  <si>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</si>
  <si>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</si>
  <si>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</si>
  <si>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</si>
  <si>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</si>
  <si>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</si>
  <si>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</si>
  <si>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</si>
  <si>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</si>
  <si>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</si>
  <si>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</si>
  <si>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</si>
  <si>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</si>
  <si>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</si>
  <si>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</si>
  <si>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</si>
  <si>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</si>
  <si>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</si>
  <si>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</si>
  <si>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</si>
  <si>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</si>
  <si>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</si>
  <si>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</si>
  <si>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</si>
  <si>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</si>
  <si>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</si>
  <si>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</si>
  <si>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</si>
  <si>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</si>
  <si>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</si>
  <si>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</si>
  <si>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</si>
  <si>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</si>
  <si>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</si>
  <si>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</si>
  <si>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</si>
  <si>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</si>
  <si>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</si>
  <si>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</si>
  <si>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</si>
  <si>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</si>
  <si>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</si>
  <si>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</si>
  <si>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</si>
  <si>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</si>
  <si>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</si>
  <si>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</si>
  <si>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</si>
  <si>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</si>
  <si>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</si>
  <si>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</si>
  <si>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</si>
  <si>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</si>
  <si>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</si>
  <si>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</si>
  <si>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</si>
  <si>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</si>
  <si>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</si>
  <si>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</si>
  <si>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</si>
  <si>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</si>
  <si>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</si>
  <si>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</si>
  <si>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</si>
  <si>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</si>
  <si>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</si>
  <si>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</si>
  <si>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</si>
  <si>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</si>
  <si>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</si>
  <si>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</si>
  <si>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</si>
  <si>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</si>
  <si>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</si>
  <si>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</si>
  <si>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</si>
  <si>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</si>
  <si>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</si>
  <si>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</si>
  <si>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</si>
  <si>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</si>
  <si>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</si>
  <si>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</si>
  <si>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</si>
  <si>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</si>
  <si>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</si>
  <si>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</si>
  <si>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</si>
  <si>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</si>
  <si>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</si>
  <si>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</si>
  <si>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</si>
  <si>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</si>
  <si>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</si>
  <si>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</si>
  <si>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</si>
  <si>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</si>
  <si>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</si>
  <si>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</si>
  <si>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</si>
  <si>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</si>
  <si>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</si>
  <si>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</si>
  <si>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</si>
  <si>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</si>
  <si>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</si>
  <si>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</si>
  <si>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</si>
  <si>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</si>
  <si>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</si>
  <si>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</si>
  <si>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</si>
  <si>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</si>
  <si>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</si>
  <si>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</si>
  <si>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</si>
  <si>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</si>
  <si>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</si>
  <si>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</si>
  <si>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</si>
  <si>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</si>
  <si>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</si>
  <si>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</si>
  <si>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</si>
  <si>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</si>
  <si>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</si>
  <si>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</si>
  <si>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</si>
  <si>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</si>
  <si>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</si>
  <si>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</si>
  <si>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</si>
  <si>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</si>
  <si>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</si>
  <si>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</si>
  <si>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</si>
  <si>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</si>
  <si>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</si>
  <si>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</si>
  <si>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</si>
  <si>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</si>
  <si>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</si>
  <si>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</si>
  <si>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</si>
  <si>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</si>
  <si>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</si>
  <si>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</si>
  <si>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</si>
  <si>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</si>
  <si>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</si>
  <si>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</si>
  <si>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</si>
  <si>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</si>
  <si>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</si>
  <si>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</si>
  <si>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</si>
  <si>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</si>
  <si>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</si>
  <si>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</si>
  <si>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</si>
  <si>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</si>
  <si>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</si>
  <si>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</si>
  <si>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</si>
  <si>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</si>
  <si>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</si>
  <si>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</si>
  <si>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</si>
  <si>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</si>
  <si>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</si>
  <si>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</si>
  <si>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</si>
  <si>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</si>
  <si>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</si>
  <si>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</si>
  <si>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</si>
  <si>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</si>
  <si>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&gt;=700 mL</t>
  </si>
  <si>
    <t>Beer</t>
  </si>
  <si>
    <t>&lt;10,000 L</t>
  </si>
  <si>
    <t>&gt;=20,000 L</t>
  </si>
  <si>
    <t>Refreshment Beverages</t>
  </si>
  <si>
    <t>100-250 mL</t>
  </si>
  <si>
    <t>250-400 mL</t>
  </si>
  <si>
    <t>Wine</t>
  </si>
  <si>
    <t>&gt;=4,000 mL</t>
  </si>
  <si>
    <t>Fortified Wine</t>
  </si>
  <si>
    <t>Other Wine</t>
  </si>
  <si>
    <t>Manitoba Liquor &amp; Lotteries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</si>
  <si>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</si>
  <si>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</si>
  <si>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</si>
  <si>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</si>
  <si>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</si>
  <si>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</si>
  <si>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</si>
  <si>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</si>
  <si>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</si>
  <si>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</si>
  <si>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</si>
  <si>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</si>
  <si>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</si>
  <si>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</si>
  <si>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</si>
  <si>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</si>
  <si>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</si>
  <si>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</si>
  <si>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</si>
  <si>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</si>
  <si>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</si>
  <si>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</si>
  <si>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</si>
  <si>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</si>
  <si>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</si>
  <si>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</si>
  <si>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</si>
  <si>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</si>
  <si>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</si>
  <si>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</si>
  <si>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</si>
  <si>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</si>
  <si>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</si>
  <si>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</si>
  <si>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</si>
  <si>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</si>
  <si>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</si>
  <si>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</si>
  <si>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</si>
  <si>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</si>
  <si>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</si>
  <si>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</si>
  <si>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</si>
  <si>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</si>
  <si>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</si>
  <si>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</si>
  <si>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</si>
  <si>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</si>
  <si>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</si>
  <si>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</si>
  <si>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</si>
  <si>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</si>
  <si>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</si>
  <si>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</si>
  <si>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</si>
  <si>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</si>
  <si>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</si>
  <si>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</si>
  <si>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</si>
  <si>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</si>
  <si>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</si>
  <si>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</si>
  <si>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</si>
  <si>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</si>
  <si>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</si>
  <si>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</si>
  <si>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</si>
  <si>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</si>
  <si>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</si>
  <si>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</si>
  <si>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</si>
  <si>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</si>
  <si>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</si>
  <si>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</si>
  <si>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</si>
  <si>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</si>
  <si>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</si>
  <si>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</si>
  <si>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</si>
  <si>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</si>
  <si>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</si>
  <si>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</si>
  <si>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</si>
  <si>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</si>
  <si>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</si>
  <si>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</si>
  <si>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</si>
  <si>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</si>
  <si>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</si>
  <si>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</si>
  <si>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</si>
  <si>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</si>
  <si>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</si>
  <si>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</si>
  <si>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</si>
  <si>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</si>
  <si>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</si>
  <si>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</si>
  <si>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</si>
  <si>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</si>
  <si>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</si>
  <si>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</si>
  <si>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</si>
  <si>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</si>
  <si>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</si>
  <si>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</si>
  <si>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</si>
  <si>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</si>
  <si>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</si>
  <si>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</si>
  <si>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</si>
  <si>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</si>
  <si>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</si>
  <si>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</si>
  <si>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</si>
  <si>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</si>
  <si>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</si>
  <si>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</si>
  <si>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</si>
  <si>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</si>
  <si>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</si>
  <si>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</si>
  <si>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</si>
  <si>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</si>
  <si>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</si>
  <si>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</si>
  <si>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</si>
  <si>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</si>
  <si>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</si>
  <si>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</si>
  <si>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</si>
  <si>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</si>
  <si>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</si>
  <si>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</si>
  <si>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</si>
  <si>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</si>
  <si>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</si>
  <si>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</si>
  <si>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</si>
  <si>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</si>
  <si>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</si>
  <si>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</si>
  <si>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</si>
  <si>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</si>
  <si>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</si>
  <si>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</si>
  <si>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</si>
  <si>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</si>
  <si>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</si>
  <si>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</si>
  <si>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</si>
  <si>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</si>
  <si>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</si>
  <si>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</si>
  <si>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</si>
  <si>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</si>
  <si>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</si>
  <si>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</si>
  <si>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</si>
  <si>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</si>
  <si>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</si>
  <si>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</si>
  <si>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</si>
  <si>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</si>
  <si>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</si>
  <si>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</si>
  <si>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</si>
  <si>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</si>
  <si>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</si>
  <si>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</si>
  <si>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</si>
  <si>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</si>
  <si>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</si>
  <si>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Disclaimer</t>
  </si>
  <si>
    <t>Malt Based Cooler</t>
  </si>
  <si>
    <t>Level</t>
  </si>
  <si>
    <t xml:space="preserve">% </t>
  </si>
  <si>
    <t>$</t>
  </si>
  <si>
    <t>Mead/Other</t>
  </si>
  <si>
    <t>Refreshment Beverage/Ciders</t>
  </si>
  <si>
    <t>Beer - MBLL Retail</t>
  </si>
  <si>
    <t>Trial Pricing Calculator - GIFT PACKS</t>
  </si>
  <si>
    <t>Final Case Cost</t>
  </si>
  <si>
    <t>Total Add-On Cost per Case cannot be higer than 49% of</t>
  </si>
  <si>
    <t xml:space="preserve">      the Final Case Cost.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</si>
  <si>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G45)</t>
    </r>
  </si>
  <si>
    <t>Set Cell: G45</t>
  </si>
  <si>
    <t>Liqueur 20x50 ml</t>
  </si>
  <si>
    <t>MM2178</t>
  </si>
  <si>
    <t>Year, Month of PC, Update Number</t>
  </si>
  <si>
    <t>400-699 mL</t>
  </si>
  <si>
    <t>10,000-19,999 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</si>
  <si>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</si>
  <si>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</si>
  <si>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</si>
  <si>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</si>
  <si>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the retail price may change. </t>
  </si>
  <si>
    <t xml:space="preserve">    used product sizes. </t>
  </si>
  <si>
    <t>MM1880</t>
  </si>
  <si>
    <t>Spirits 200 ml</t>
  </si>
  <si>
    <t>MM1955</t>
  </si>
  <si>
    <t>Spirits 250 ml</t>
  </si>
  <si>
    <t>MM2050</t>
  </si>
  <si>
    <t>Spirits 350 ml</t>
  </si>
  <si>
    <t>MM1601</t>
  </si>
  <si>
    <t>Spirits 3x100 ml</t>
  </si>
  <si>
    <t>MM1602</t>
  </si>
  <si>
    <t>Spirits 4x100 ml</t>
  </si>
  <si>
    <t>MM1813</t>
  </si>
  <si>
    <t>Spirits 4x50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</si>
  <si>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</si>
  <si>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</si>
  <si>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</si>
  <si>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</si>
  <si>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</si>
  <si>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</si>
  <si>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</si>
  <si>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</si>
  <si>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</si>
  <si>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</si>
  <si>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</si>
  <si>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</si>
  <si>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</si>
  <si>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</si>
  <si>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MM1686</t>
  </si>
  <si>
    <t>Wine 650 ml</t>
  </si>
  <si>
    <t>MM2226</t>
  </si>
  <si>
    <t>Wine 8x750 ml</t>
  </si>
  <si>
    <t>MM2223</t>
  </si>
  <si>
    <t>Wine 4x750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</si>
  <si>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</si>
  <si>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</si>
  <si>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</si>
  <si>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</si>
  <si>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</si>
  <si>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</si>
  <si>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</si>
  <si>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</si>
  <si>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</si>
  <si>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</si>
  <si>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</si>
  <si>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</si>
  <si>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</si>
  <si>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</si>
  <si>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</si>
  <si>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</si>
  <si>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</si>
  <si>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</si>
  <si>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</si>
  <si>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</si>
  <si>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</si>
  <si>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</si>
  <si>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</si>
  <si>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</si>
  <si>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</si>
  <si>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</si>
  <si>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MM2127</t>
  </si>
  <si>
    <t>Refreshment Bev. 24x341 ml</t>
  </si>
  <si>
    <t>MM1236</t>
  </si>
  <si>
    <t>Beer Cans 404 ml</t>
  </si>
  <si>
    <t>MM1131</t>
  </si>
  <si>
    <t>Beer Bottle 284 ml</t>
  </si>
  <si>
    <t>MM1218</t>
  </si>
  <si>
    <t>Beer Bottles 340 ml</t>
  </si>
  <si>
    <t>MM2564</t>
  </si>
  <si>
    <t>Beer Keg 10000 ml</t>
  </si>
  <si>
    <t>MM1421</t>
  </si>
  <si>
    <t>Beer Bottles4X650 ml</t>
  </si>
  <si>
    <t>MM1907</t>
  </si>
  <si>
    <t>Beer Bottle 22x330 2x355 2x341</t>
  </si>
  <si>
    <t>MM1913</t>
  </si>
  <si>
    <t>Beer Btl 19x330 ml Can3x500 ml</t>
  </si>
  <si>
    <t>MM1914</t>
  </si>
  <si>
    <t>Beer Btl 21x330 Can 3x500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</si>
  <si>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</si>
  <si>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</si>
  <si>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</si>
  <si>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</si>
  <si>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</si>
  <si>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</si>
  <si>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</si>
  <si>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</si>
  <si>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</si>
  <si>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</si>
  <si>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</si>
  <si>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</si>
  <si>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</si>
  <si>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</si>
  <si>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</si>
  <si>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</si>
  <si>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MM1274</t>
  </si>
  <si>
    <t>MM1275</t>
  </si>
  <si>
    <t>Beer Cans 4x500 ml</t>
  </si>
  <si>
    <t>MM2562</t>
  </si>
  <si>
    <t>Beer Can 8x222 ml</t>
  </si>
  <si>
    <t>MM2563</t>
  </si>
  <si>
    <t>Beer Can 10x473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</si>
  <si>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</si>
  <si>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</si>
  <si>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</si>
  <si>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</si>
  <si>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</si>
  <si>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</si>
  <si>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</si>
  <si>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</si>
  <si>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</si>
  <si>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</si>
  <si>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MM2126</t>
  </si>
  <si>
    <t>Beer Cans 24x500 ml</t>
  </si>
  <si>
    <t>MM2566</t>
  </si>
  <si>
    <t>Beer Can 15x473 ml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</si>
  <si>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</si>
  <si>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</si>
  <si>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</si>
  <si>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</si>
  <si>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</si>
  <si>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</si>
  <si>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</si>
  <si>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</si>
  <si>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MM1916</t>
  </si>
  <si>
    <t>Beer Cans 4x330 ml 20x355 ml</t>
  </si>
  <si>
    <r>
      <t>Duty Type</t>
    </r>
    <r>
      <rPr>
        <sz val="6"/>
        <color rgb="FF002060"/>
        <rFont val="Calibri"/>
        <family val="2"/>
        <scheme val="minor"/>
      </rPr>
      <t xml:space="preserve"> 1</t>
    </r>
  </si>
  <si>
    <r>
      <t xml:space="preserve">Certificate of Origin </t>
    </r>
    <r>
      <rPr>
        <sz val="6"/>
        <color rgb="FF002060"/>
        <rFont val="Calibri"/>
        <family val="2"/>
        <scheme val="minor"/>
      </rPr>
      <t>2</t>
    </r>
  </si>
  <si>
    <r>
      <t>Social Reference Price (SRP)</t>
    </r>
    <r>
      <rPr>
        <b/>
        <sz val="6"/>
        <color theme="0"/>
        <rFont val="Calibri"/>
        <family val="2"/>
        <scheme val="minor"/>
      </rPr>
      <t xml:space="preserve"> 3</t>
    </r>
  </si>
  <si>
    <r>
      <t xml:space="preserve">Micro Produced </t>
    </r>
    <r>
      <rPr>
        <sz val="6"/>
        <color rgb="FF002060"/>
        <rFont val="Calibri"/>
        <family val="2"/>
        <scheme val="minor"/>
      </rPr>
      <t>4</t>
    </r>
  </si>
  <si>
    <r>
      <t xml:space="preserve">Total Add-On Cost per Case </t>
    </r>
    <r>
      <rPr>
        <sz val="6"/>
        <color rgb="FF002060"/>
        <rFont val="Calibri"/>
        <family val="2"/>
        <scheme val="minor"/>
      </rPr>
      <t>5</t>
    </r>
  </si>
  <si>
    <t xml:space="preserve">   # of individual containers per selling package</t>
  </si>
  <si>
    <t>Units per Case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</si>
  <si>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commonly</t>
    </r>
  </si>
  <si>
    <t>Add-on cost per unit</t>
  </si>
  <si>
    <t>2023,07,02</t>
  </si>
  <si>
    <t>2023,09,01</t>
  </si>
  <si>
    <t>Effective November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</si>
</sst>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  <font>
      <b/>
      <sz val="11"/>
      <color rgb="FF00206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10" borderId="0" applyNumberFormat="0" applyBorder="0" applyAlignment="0" applyProtection="0"/>
    <xf numFmtId="0" fontId="36" fillId="12" borderId="34" applyNumberFormat="0" applyAlignment="0" applyProtection="0"/>
    <xf numFmtId="0" fontId="37" fillId="13" borderId="35" applyNumberFormat="0" applyAlignment="0" applyProtection="0"/>
    <xf numFmtId="0" fontId="38" fillId="13" borderId="34" applyNumberFormat="0" applyAlignment="0" applyProtection="0"/>
    <xf numFmtId="0" fontId="39" fillId="0" borderId="36" applyNumberFormat="0" applyFill="0" applyAlignment="0" applyProtection="0"/>
    <xf numFmtId="0" fontId="2" fillId="14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4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49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46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50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51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52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53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5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55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50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56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41" borderId="0" applyNumberFormat="0" applyBorder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47" fillId="44" borderId="34" applyNumberFormat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42" borderId="0" applyNumberFormat="0" applyBorder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8" fillId="0" borderId="40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49" fillId="0" borderId="41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0" fillId="0" borderId="4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44" borderId="34" applyNumberFormat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51" fillId="0" borderId="43" applyNumberFormat="0" applyFill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52" fillId="1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3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53" fillId="15" borderId="38" applyNumberFormat="0" applyFont="0" applyAlignment="0" applyProtection="0"/>
    <xf numFmtId="0" fontId="53" fillId="15" borderId="38" applyNumberFormat="0" applyFon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44" borderId="35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5" fillId="0" borderId="0" applyNumberFormat="0" applyFill="0" applyBorder="0" applyAlignment="0" applyProtection="0"/>
    <xf numFmtId="0" fontId="46" fillId="11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5" borderId="0" applyNumberFormat="0" applyBorder="0" applyAlignment="0" applyProtection="0"/>
    <xf numFmtId="0" fontId="42" fillId="39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44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10" borderId="0" applyNumberFormat="0" applyBorder="0" applyAlignment="0" applyProtection="0"/>
    <xf numFmtId="0" fontId="46" fillId="11" borderId="0" applyNumberFormat="0" applyBorder="0" applyAlignment="0" applyProtection="0"/>
    <xf numFmtId="0" fontId="36" fillId="12" borderId="34" applyNumberFormat="0" applyAlignment="0" applyProtection="0"/>
    <xf numFmtId="0" fontId="37" fillId="13" borderId="35" applyNumberFormat="0" applyAlignment="0" applyProtection="0"/>
    <xf numFmtId="0" fontId="38" fillId="13" borderId="34" applyNumberFormat="0" applyAlignment="0" applyProtection="0"/>
    <xf numFmtId="0" fontId="39" fillId="0" borderId="36" applyNumberFormat="0" applyFill="0" applyAlignment="0" applyProtection="0"/>
    <xf numFmtId="0" fontId="2" fillId="14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4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9" fontId="4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</cellStyleXfs>
  <cellXfs count="203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3" fillId="5" borderId="0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3" fillId="5" borderId="21" xfId="0" applyFont="1" applyFill="1" applyBorder="1" applyAlignment="1" applyProtection="1">
      <alignment horizontal="center"/>
    </xf>
    <xf numFmtId="0" fontId="24" fillId="0" borderId="0" xfId="0" applyFont="1" applyFill="1" applyBorder="1" applyProtection="1"/>
    <xf numFmtId="0" fontId="25" fillId="0" borderId="0" xfId="0" applyFont="1" applyBorder="1" applyAlignment="1" applyProtection="1">
      <alignment horizontal="left"/>
    </xf>
    <xf numFmtId="0" fontId="24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3" fillId="5" borderId="20" xfId="0" applyFont="1" applyFill="1" applyBorder="1" applyAlignment="1" applyProtection="1">
      <alignment horizontal="left"/>
    </xf>
    <xf numFmtId="0" fontId="23" fillId="5" borderId="0" xfId="0" applyFont="1" applyFill="1" applyBorder="1" applyAlignment="1" applyProtection="1">
      <alignment horizontal="left"/>
    </xf>
    <xf numFmtId="0" fontId="23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6" borderId="27" xfId="0" applyFont="1" applyFill="1" applyBorder="1" applyProtection="1"/>
    <xf numFmtId="0" fontId="11" fillId="6" borderId="27" xfId="0" applyFont="1" applyFill="1" applyBorder="1" applyAlignment="1" applyProtection="1">
      <alignment horizontal="right" vertical="center"/>
    </xf>
    <xf numFmtId="0" fontId="11" fillId="6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3" xfId="0" applyBorder="1"/>
    <xf numFmtId="0" fontId="27" fillId="0" borderId="12" xfId="0" applyFont="1" applyBorder="1"/>
    <xf numFmtId="0" fontId="11" fillId="0" borderId="12" xfId="0" applyFont="1" applyBorder="1"/>
    <xf numFmtId="0" fontId="11" fillId="0" borderId="29" xfId="0" applyFont="1" applyBorder="1" applyProtection="1"/>
    <xf numFmtId="0" fontId="11" fillId="7" borderId="20" xfId="0" applyFont="1" applyFill="1" applyBorder="1" applyProtection="1"/>
    <xf numFmtId="0" fontId="11" fillId="7" borderId="21" xfId="0" applyFont="1" applyFill="1" applyBorder="1" applyProtection="1"/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0" fillId="8" borderId="12" xfId="0" applyFill="1" applyBorder="1"/>
    <xf numFmtId="0" fontId="0" fillId="8" borderId="0" xfId="0" applyFill="1" applyBorder="1"/>
    <xf numFmtId="0" fontId="25" fillId="8" borderId="0" xfId="0" applyFont="1" applyFill="1" applyBorder="1"/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0" fontId="0" fillId="0" borderId="12" xfId="0" applyBorder="1" applyAlignment="1">
      <alignment horizontal="left"/>
    </xf>
    <xf numFmtId="0" fontId="11" fillId="0" borderId="0" xfId="0" applyFont="1"/>
    <xf numFmtId="2" fontId="11" fillId="0" borderId="21" xfId="0" applyNumberFormat="1" applyFont="1" applyBorder="1"/>
    <xf numFmtId="0" fontId="11" fillId="0" borderId="24" xfId="0" applyFont="1" applyBorder="1"/>
    <xf numFmtId="2" fontId="11" fillId="0" borderId="26" xfId="0" applyNumberFormat="1" applyFont="1" applyBorder="1"/>
    <xf numFmtId="0" fontId="4" fillId="0" borderId="0" xfId="0" applyFont="1" applyFill="1"/>
    <xf numFmtId="166" fontId="0" fillId="0" borderId="0" xfId="0" applyNumberFormat="1"/>
    <xf numFmtId="14" fontId="13" fillId="0" borderId="12" xfId="0" applyNumberFormat="1" applyFont="1" applyBorder="1" applyAlignment="1">
      <alignment horizontal="right"/>
    </xf>
    <xf numFmtId="0" fontId="11" fillId="0" borderId="20" xfId="0" applyFont="1" applyBorder="1"/>
    <xf numFmtId="2" fontId="11" fillId="0" borderId="0" xfId="0" applyNumberFormat="1" applyFont="1"/>
    <xf numFmtId="14" fontId="0" fillId="0" borderId="0" xfId="0" applyNumberFormat="1" applyFont="1"/>
    <xf numFmtId="14" fontId="0" fillId="0" borderId="0" xfId="0" applyNumberFormat="1" applyFill="1"/>
    <xf numFmtId="0" fontId="0" fillId="57" borderId="0" xfId="0" applyFill="1" applyBorder="1"/>
    <xf numFmtId="0" fontId="19" fillId="57" borderId="0" xfId="0" applyFont="1" applyFill="1" applyBorder="1"/>
    <xf numFmtId="0" fontId="22" fillId="57" borderId="14" xfId="0" applyFont="1" applyFill="1" applyBorder="1"/>
    <xf numFmtId="0" fontId="0" fillId="58" borderId="0" xfId="0" applyFill="1" applyBorder="1"/>
    <xf numFmtId="0" fontId="14" fillId="58" borderId="0" xfId="0" applyFont="1" applyFill="1" applyBorder="1"/>
    <xf numFmtId="0" fontId="15" fillId="58" borderId="0" xfId="0" applyFont="1" applyFill="1" applyBorder="1" applyAlignment="1">
      <alignment horizontal="left" vertical="top"/>
    </xf>
    <xf numFmtId="0" fontId="14" fillId="58" borderId="0" xfId="0" applyFont="1" applyFill="1" applyBorder="1" applyAlignment="1">
      <alignment horizontal="right"/>
    </xf>
    <xf numFmtId="0" fontId="14" fillId="58" borderId="0" xfId="0" applyFont="1" applyFill="1" applyBorder="1" applyAlignment="1">
      <alignment vertical="top"/>
    </xf>
    <xf numFmtId="0" fontId="55" fillId="58" borderId="0" xfId="0" applyFont="1" applyFill="1" applyBorder="1"/>
    <xf numFmtId="0" fontId="28" fillId="58" borderId="0" xfId="0" applyFont="1" applyFill="1" applyBorder="1"/>
    <xf numFmtId="0" fontId="14" fillId="58" borderId="14" xfId="0" applyFont="1" applyFill="1" applyBorder="1" applyAlignment="1" applyProtection="1">
      <alignment horizontal="right"/>
    </xf>
    <xf numFmtId="0" fontId="28" fillId="58" borderId="0" xfId="0" applyFont="1" applyFill="1" applyBorder="1" applyAlignment="1">
      <alignment vertical="top"/>
    </xf>
    <xf numFmtId="166" fontId="14" fillId="58" borderId="0" xfId="0" applyNumberFormat="1" applyFont="1" applyFill="1" applyBorder="1" applyAlignment="1">
      <alignment horizontal="right"/>
    </xf>
    <xf numFmtId="0" fontId="13" fillId="59" borderId="0" xfId="0" applyFont="1" applyFill="1" applyBorder="1" applyAlignment="1">
      <alignment horizontal="right" vertical="top"/>
    </xf>
    <xf numFmtId="0" fontId="20" fillId="59" borderId="0" xfId="0" applyFont="1" applyFill="1" applyBorder="1"/>
    <xf numFmtId="0" fontId="21" fillId="59" borderId="0" xfId="0" applyFont="1" applyFill="1" applyBorder="1"/>
    <xf numFmtId="0" fontId="11" fillId="59" borderId="0" xfId="0" applyFont="1" applyFill="1" applyBorder="1"/>
    <xf numFmtId="0" fontId="11" fillId="59" borderId="0" xfId="0" applyFont="1" applyFill="1" applyBorder="1" applyAlignment="1">
      <alignment vertical="top"/>
    </xf>
    <xf numFmtId="0" fontId="20" fillId="59" borderId="0" xfId="0" applyFont="1" applyFill="1" applyBorder="1" applyAlignment="1">
      <alignment vertical="top"/>
    </xf>
    <xf numFmtId="0" fontId="0" fillId="59" borderId="14" xfId="0" applyFill="1" applyBorder="1"/>
    <xf numFmtId="0" fontId="0" fillId="59" borderId="12" xfId="0" applyFill="1" applyBorder="1"/>
    <xf numFmtId="2" fontId="0" fillId="59" borderId="14" xfId="0" applyNumberFormat="1" applyFill="1" applyBorder="1"/>
    <xf numFmtId="0" fontId="0" fillId="59" borderId="0" xfId="0" applyFill="1" applyBorder="1"/>
    <xf numFmtId="0" fontId="25" fillId="59" borderId="0" xfId="0" applyFont="1" applyFill="1" applyBorder="1"/>
    <xf numFmtId="0" fontId="25" fillId="59" borderId="0" xfId="0" applyFont="1" applyFill="1" applyBorder="1" applyAlignment="1">
      <alignment vertical="top"/>
    </xf>
    <xf numFmtId="166" fontId="11" fillId="59" borderId="12" xfId="0" applyNumberFormat="1" applyFont="1" applyFill="1" applyBorder="1"/>
    <xf numFmtId="0" fontId="22" fillId="60" borderId="20" xfId="0" applyFont="1" applyFill="1" applyBorder="1" applyProtection="1"/>
    <xf numFmtId="0" fontId="22" fillId="60" borderId="0" xfId="0" applyFont="1" applyFill="1" applyBorder="1" applyProtection="1"/>
    <xf numFmtId="0" fontId="22" fillId="60" borderId="21" xfId="0" applyFont="1" applyFill="1" applyBorder="1" applyProtection="1"/>
    <xf numFmtId="0" fontId="22" fillId="57" borderId="20" xfId="0" applyFont="1" applyFill="1" applyBorder="1" applyProtection="1"/>
    <xf numFmtId="0" fontId="22" fillId="57" borderId="0" xfId="0" applyFont="1" applyFill="1" applyBorder="1" applyProtection="1"/>
    <xf numFmtId="0" fontId="22" fillId="57" borderId="21" xfId="0" applyFont="1" applyFill="1" applyBorder="1" applyProtection="1"/>
    <xf numFmtId="0" fontId="56" fillId="57" borderId="19" xfId="0" applyFont="1" applyFill="1" applyBorder="1" applyProtection="1"/>
    <xf numFmtId="0" fontId="42" fillId="57" borderId="20" xfId="0" applyFont="1" applyFill="1" applyBorder="1" applyAlignment="1" applyProtection="1">
      <alignment horizontal="center"/>
    </xf>
    <xf numFmtId="0" fontId="42" fillId="57" borderId="21" xfId="0" applyFont="1" applyFill="1" applyBorder="1" applyAlignment="1" applyProtection="1">
      <alignment horizontal="center"/>
    </xf>
    <xf numFmtId="0" fontId="56" fillId="57" borderId="22" xfId="0" applyFont="1" applyFill="1" applyBorder="1" applyProtection="1"/>
    <xf numFmtId="0" fontId="56" fillId="57" borderId="20" xfId="0" applyFont="1" applyFill="1" applyBorder="1" applyAlignment="1" applyProtection="1">
      <alignment horizontal="center"/>
    </xf>
    <xf numFmtId="0" fontId="56" fillId="57" borderId="21" xfId="0" applyFont="1" applyFill="1" applyBorder="1" applyAlignment="1" applyProtection="1">
      <alignment horizontal="center"/>
    </xf>
    <xf numFmtId="0" fontId="57" fillId="57" borderId="20" xfId="0" applyFont="1" applyFill="1" applyBorder="1" applyAlignment="1" applyProtection="1">
      <alignment horizontal="center"/>
    </xf>
    <xf numFmtId="0" fontId="57" fillId="57" borderId="0" xfId="0" applyFont="1" applyFill="1" applyBorder="1" applyAlignment="1" applyProtection="1">
      <alignment horizontal="center"/>
    </xf>
    <xf numFmtId="0" fontId="57" fillId="57" borderId="21" xfId="0" applyFont="1" applyFill="1" applyBorder="1" applyAlignment="1" applyProtection="1">
      <alignment horizontal="center"/>
    </xf>
    <xf numFmtId="14" fontId="13" fillId="0" borderId="12" xfId="0" applyNumberFormat="1" applyFont="1" applyBorder="1" applyAlignment="1">
      <alignment horizontal="center"/>
    </xf>
    <xf numFmtId="166" fontId="14" fillId="58" borderId="0" xfId="0" applyNumberFormat="1" applyFont="1" applyFill="1" applyBorder="1" applyAlignment="1">
      <alignment horizontal="right"/>
    </xf>
    <xf numFmtId="0" fontId="2" fillId="60" borderId="0" xfId="0" applyFont="1" applyFill="1" applyBorder="1" applyAlignment="1">
      <alignment horizontal="right"/>
    </xf>
    <xf numFmtId="167" fontId="3" fillId="58" borderId="0" xfId="0" applyNumberFormat="1" applyFont="1" applyFill="1" applyBorder="1" applyAlignment="1">
      <alignment horizontal="center"/>
    </xf>
    <xf numFmtId="167" fontId="18" fillId="59" borderId="0" xfId="0" applyNumberFormat="1" applyFont="1" applyFill="1" applyBorder="1" applyAlignment="1" applyProtection="1">
      <alignment horizontal="center"/>
      <protection locked="0" hidden="1"/>
    </xf>
    <xf numFmtId="0" fontId="14" fillId="58" borderId="13" xfId="0" applyFont="1" applyFill="1" applyBorder="1" applyAlignment="1" applyProtection="1">
      <alignment horizontal="right"/>
      <protection locked="0"/>
    </xf>
    <xf numFmtId="0" fontId="14" fillId="58" borderId="15" xfId="0" applyFont="1" applyFill="1" applyBorder="1" applyAlignment="1" applyProtection="1">
      <alignment horizontal="right"/>
      <protection locked="0"/>
    </xf>
    <xf numFmtId="0" fontId="14" fillId="58" borderId="28" xfId="0" applyFont="1" applyFill="1" applyBorder="1" applyAlignment="1" applyProtection="1">
      <alignment horizontal="right"/>
      <protection locked="0"/>
    </xf>
    <xf numFmtId="0" fontId="16" fillId="57" borderId="0" xfId="0" applyFont="1" applyFill="1" applyBorder="1" applyAlignment="1">
      <alignment horizontal="right"/>
    </xf>
    <xf numFmtId="0" fontId="12" fillId="57" borderId="0" xfId="0" applyFont="1" applyFill="1" applyBorder="1" applyAlignment="1">
      <alignment horizontal="center"/>
    </xf>
    <xf numFmtId="0" fontId="14" fillId="58" borderId="12" xfId="0" applyFont="1" applyFill="1" applyBorder="1" applyAlignment="1" applyProtection="1">
      <alignment horizontal="right"/>
      <protection locked="0"/>
    </xf>
    <xf numFmtId="167" fontId="14" fillId="58" borderId="12" xfId="0" applyNumberFormat="1" applyFont="1" applyFill="1" applyBorder="1" applyAlignment="1" applyProtection="1">
      <alignment horizontal="right"/>
      <protection locked="0" hidden="1"/>
    </xf>
    <xf numFmtId="168" fontId="14" fillId="58" borderId="12" xfId="0" applyNumberFormat="1" applyFont="1" applyFill="1" applyBorder="1" applyAlignment="1" applyProtection="1">
      <alignment horizontal="right"/>
      <protection locked="0"/>
    </xf>
    <xf numFmtId="0" fontId="14" fillId="58" borderId="29" xfId="0" applyFont="1" applyFill="1" applyBorder="1" applyAlignment="1" applyProtection="1">
      <alignment horizontal="right"/>
      <protection locked="0"/>
    </xf>
    <xf numFmtId="0" fontId="14" fillId="58" borderId="13" xfId="0" applyNumberFormat="1" applyFont="1" applyFill="1" applyBorder="1" applyAlignment="1" applyProtection="1">
      <alignment horizontal="right"/>
      <protection locked="0"/>
    </xf>
    <xf numFmtId="167" fontId="14" fillId="58" borderId="48" xfId="0" applyNumberFormat="1" applyFont="1" applyFill="1" applyBorder="1" applyAlignment="1" applyProtection="1">
      <alignment horizontal="right"/>
      <protection locked="0" hidden="1"/>
    </xf>
    <xf numFmtId="167" fontId="14" fillId="58" borderId="29" xfId="0" applyNumberFormat="1" applyFont="1" applyFill="1" applyBorder="1" applyAlignment="1" applyProtection="1">
      <alignment horizontal="right"/>
      <protection hidden="1"/>
    </xf>
    <xf numFmtId="1" fontId="14" fillId="58" borderId="14" xfId="0" applyNumberFormat="1" applyFont="1" applyFill="1" applyBorder="1" applyAlignment="1" applyProtection="1">
      <alignment horizontal="right"/>
      <protection locked="0"/>
    </xf>
    <xf numFmtId="1" fontId="14" fillId="58" borderId="15" xfId="0" applyNumberFormat="1" applyFont="1" applyFill="1" applyBorder="1" applyAlignment="1" applyProtection="1">
      <alignment horizontal="right"/>
      <protection locked="0"/>
    </xf>
    <xf numFmtId="1" fontId="14" fillId="58" borderId="28" xfId="0" applyNumberFormat="1" applyFont="1" applyFill="1" applyBorder="1" applyAlignment="1" applyProtection="1">
      <alignment horizontal="right"/>
      <protection locked="0"/>
    </xf>
    <xf numFmtId="0" fontId="10" fillId="57" borderId="0" xfId="0" applyFont="1" applyFill="1" applyBorder="1" applyAlignment="1">
      <alignment horizontal="center" vertical="center"/>
    </xf>
    <xf numFmtId="0" fontId="10" fillId="57" borderId="0" xfId="0" applyFont="1" applyFill="1" applyBorder="1" applyAlignment="1">
      <alignment horizontal="center"/>
    </xf>
    <xf numFmtId="0" fontId="42" fillId="57" borderId="16" xfId="0" applyFont="1" applyFill="1" applyBorder="1" applyAlignment="1" applyProtection="1">
      <alignment horizontal="center"/>
    </xf>
    <xf numFmtId="0" fontId="42" fillId="57" borderId="17" xfId="0" applyFont="1" applyFill="1" applyBorder="1" applyAlignment="1" applyProtection="1">
      <alignment horizontal="center"/>
    </xf>
    <xf numFmtId="0" fontId="42" fillId="57" borderId="18" xfId="0" applyFont="1" applyFill="1" applyBorder="1" applyAlignment="1" applyProtection="1">
      <alignment horizontal="center"/>
    </xf>
    <xf numFmtId="0" fontId="57" fillId="57" borderId="16" xfId="0" applyFont="1" applyFill="1" applyBorder="1" applyAlignment="1" applyProtection="1">
      <alignment horizontal="center"/>
    </xf>
    <xf numFmtId="0" fontId="57" fillId="57" borderId="17" xfId="0" applyFont="1" applyFill="1" applyBorder="1" applyAlignment="1" applyProtection="1">
      <alignment horizontal="center"/>
    </xf>
    <xf numFmtId="0" fontId="57" fillId="57" borderId="18" xfId="0" applyFont="1" applyFill="1" applyBorder="1" applyAlignment="1" applyProtection="1">
      <alignment horizontal="center"/>
    </xf>
    <xf numFmtId="0" fontId="22" fillId="60" borderId="0" xfId="0" applyFont="1" applyFill="1" applyBorder="1" applyAlignment="1" applyProtection="1">
      <alignment horizontal="center" wrapText="1"/>
    </xf>
    <xf numFmtId="0" fontId="22" fillId="60" borderId="22" xfId="0" applyFont="1" applyFill="1" applyBorder="1" applyAlignment="1" applyProtection="1">
      <alignment horizontal="center" wrapText="1"/>
    </xf>
    <xf numFmtId="0" fontId="22" fillId="60" borderId="20" xfId="0" applyFont="1" applyFill="1" applyBorder="1" applyAlignment="1" applyProtection="1">
      <alignment horizontal="center" wrapText="1"/>
    </xf>
    <xf numFmtId="0" fontId="22" fillId="60" borderId="21" xfId="0" applyFont="1" applyFill="1" applyBorder="1" applyAlignment="1" applyProtection="1">
      <alignment horizontal="center" wrapText="1"/>
    </xf>
    <xf numFmtId="0" fontId="56" fillId="57" borderId="16" xfId="0" applyFont="1" applyFill="1" applyBorder="1" applyAlignment="1" applyProtection="1">
      <alignment horizontal="center"/>
    </xf>
    <xf numFmtId="0" fontId="56" fillId="57" borderId="18" xfId="0" applyFont="1" applyFill="1" applyBorder="1" applyAlignment="1" applyProtection="1">
      <alignment horizontal="center"/>
    </xf>
    <xf numFmtId="0" fontId="11" fillId="6" borderId="16" xfId="0" applyFont="1" applyFill="1" applyBorder="1" applyAlignment="1" applyProtection="1">
      <alignment horizontal="center"/>
    </xf>
    <xf numFmtId="0" fontId="11" fillId="6" borderId="17" xfId="0" applyFont="1" applyFill="1" applyBorder="1" applyAlignment="1" applyProtection="1">
      <alignment horizontal="center"/>
    </xf>
    <xf numFmtId="0" fontId="11" fillId="6" borderId="18" xfId="0" applyFont="1" applyFill="1" applyBorder="1" applyAlignment="1" applyProtection="1">
      <alignment horizontal="center"/>
    </xf>
    <xf numFmtId="0" fontId="0" fillId="6" borderId="16" xfId="0" applyFont="1" applyFill="1" applyBorder="1" applyAlignment="1" applyProtection="1">
      <alignment horizontal="center"/>
    </xf>
    <xf numFmtId="0" fontId="0" fillId="6" borderId="17" xfId="0" applyFont="1" applyFill="1" applyBorder="1" applyAlignment="1" applyProtection="1">
      <alignment horizontal="center"/>
    </xf>
    <xf numFmtId="0" fontId="0" fillId="6" borderId="18" xfId="0" applyFont="1" applyFill="1" applyBorder="1" applyAlignment="1" applyProtection="1">
      <alignment horizontal="center"/>
    </xf>
    <xf numFmtId="0" fontId="22" fillId="5" borderId="0" xfId="0" applyFont="1" applyFill="1" applyBorder="1" applyAlignment="1" applyProtection="1">
      <alignment horizontal="center"/>
    </xf>
    <xf numFmtId="0" fontId="22" fillId="5" borderId="21" xfId="0" applyFont="1" applyFill="1" applyBorder="1" applyAlignment="1" applyProtection="1">
      <alignment horizontal="center"/>
    </xf>
    <xf numFmtId="0" fontId="22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9999FF"/>
      <color rgb="FFE5F4F7"/>
      <color rgb="FFF0F8FA"/>
      <color rgb="FFE5E5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1066800</xdr:colOff>
      <xdr:row>37</xdr:row>
      <xdr:rowOff>180975</xdr:rowOff>
    </xdr:from>
    <xdr:to>
      <xdr:col>12</xdr:col>
      <xdr:colOff>3086382</xdr:colOff>
      <xdr:row>45</xdr:row>
      <xdr:rowOff>38297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8068F-ACB6-420F-9BC3-71F1A8CE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905750"/>
          <a:ext cx="2019582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J259"/>
  <sheetViews>
    <sheetView showGridLines="0" tabSelected="1" zoomScaleNormal="100" workbookViewId="0">
      <selection activeCell="F8" sqref="F8:H8"/>
    </sheetView>
  </sheetViews>
  <sheetFormatPr defaultColWidth="0" defaultRowHeight="14.5" zeroHeight="1" x14ac:dyDescent="0.35"/>
  <cols>
    <col min="1" max="1" width="7.54296875" style="75" customWidth="1"/>
    <col min="2" max="2" width="7" style="75" customWidth="1"/>
    <col min="3" max="3" width="9.453125" style="75" customWidth="1"/>
    <col min="4" max="4" width="29.1796875" style="75" customWidth="1"/>
    <col min="5" max="5" width="4" style="75" hidden="1" customWidth="1"/>
    <col min="6" max="6" width="7.7265625" style="75" customWidth="1"/>
    <col min="7" max="7" width="8.81640625" style="75" customWidth="1"/>
    <col min="8" max="8" width="14.453125" style="75" customWidth="1"/>
    <col min="9" max="9" width="5.7265625" style="75" customWidth="1"/>
    <col min="10" max="10" width="8.81640625" style="90" customWidth="1"/>
    <col min="11" max="11" width="9.1796875" style="90" hidden="1" customWidth="1"/>
    <col min="12" max="12" width="1.81640625" style="90" hidden="1" customWidth="1"/>
    <col min="13" max="13" width="64.54296875" style="90" bestFit="1" customWidth="1"/>
    <col min="14" max="14" width="8.7265625" style="75" hidden="1" customWidth="1"/>
    <col min="15" max="15" width="9.1796875" style="75" customWidth="1"/>
    <col min="16" max="28" width="9.1796875" style="75" hidden="1" customWidth="1"/>
    <col min="29" max="29" width="28.7265625" style="75" hidden="1" customWidth="1"/>
    <col min="30" max="30" width="9.1796875" style="75" hidden="1" customWidth="1"/>
    <col min="31" max="31" width="23.26953125" style="75" hidden="1" customWidth="1"/>
    <col min="32" max="32" width="9.1796875" style="75" hidden="1" customWidth="1"/>
    <col min="33" max="33" width="19.81640625" style="75" hidden="1" customWidth="1"/>
    <col min="34" max="34" width="9.1796875" style="75" hidden="1" customWidth="1"/>
    <col min="35" max="35" width="13.1796875" style="75" hidden="1" customWidth="1"/>
    <col min="36" max="16384" width="9.1796875" style="75" hidden="1"/>
  </cols>
  <sheetData>
    <row r="1" spans="1:36" x14ac:dyDescent="0.35">
      <c r="A1" s="70"/>
      <c r="B1" s="73"/>
      <c r="C1" s="73"/>
      <c r="D1" s="73"/>
      <c r="E1" s="73"/>
      <c r="F1" s="73"/>
      <c r="G1" s="73"/>
      <c r="H1" s="73"/>
      <c r="I1" s="73"/>
      <c r="J1" s="70"/>
      <c r="K1" s="70"/>
      <c r="L1" s="71"/>
      <c r="M1" s="7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6" ht="28.5" x14ac:dyDescent="0.35">
      <c r="A2" s="76"/>
      <c r="B2" s="171" t="s">
        <v>682</v>
      </c>
      <c r="C2" s="171"/>
      <c r="D2" s="171"/>
      <c r="E2" s="171"/>
      <c r="F2" s="171"/>
      <c r="G2" s="171"/>
      <c r="H2" s="171"/>
      <c r="I2" s="171"/>
      <c r="J2" s="77"/>
      <c r="K2" s="75"/>
      <c r="L2" s="75"/>
      <c r="M2" s="75"/>
      <c r="P2" s="173" t="s">
        <v>713</v>
      </c>
      <c r="Q2" s="174"/>
      <c r="R2" s="174"/>
      <c r="S2" s="174"/>
      <c r="T2" s="175"/>
      <c r="U2" s="173" t="s">
        <v>714</v>
      </c>
      <c r="V2" s="175"/>
      <c r="W2" s="142"/>
      <c r="X2" s="183" t="s">
        <v>690</v>
      </c>
      <c r="Y2" s="184"/>
      <c r="Z2" s="173" t="s">
        <v>687</v>
      </c>
      <c r="AA2" s="175"/>
      <c r="AB2" s="176" t="s">
        <v>715</v>
      </c>
      <c r="AC2" s="177"/>
      <c r="AD2" s="177"/>
      <c r="AE2" s="177"/>
      <c r="AF2" s="177"/>
      <c r="AG2" s="177"/>
      <c r="AH2" s="178"/>
      <c r="AI2" s="173" t="s">
        <v>740</v>
      </c>
      <c r="AJ2" s="175"/>
    </row>
    <row r="3" spans="1:36" ht="28.5" x14ac:dyDescent="0.65">
      <c r="A3" s="76"/>
      <c r="B3" s="172" t="s">
        <v>864</v>
      </c>
      <c r="C3" s="172"/>
      <c r="D3" s="172"/>
      <c r="E3" s="172"/>
      <c r="F3" s="172"/>
      <c r="G3" s="172"/>
      <c r="H3" s="172"/>
      <c r="I3" s="172"/>
      <c r="J3" s="77"/>
      <c r="K3" s="75"/>
      <c r="L3" s="75"/>
      <c r="M3" s="75"/>
      <c r="P3" s="139" t="s">
        <v>713</v>
      </c>
      <c r="Q3" s="140" t="s">
        <v>685</v>
      </c>
      <c r="R3" s="140" t="s">
        <v>685</v>
      </c>
      <c r="S3" s="140" t="s">
        <v>685</v>
      </c>
      <c r="T3" s="141" t="s">
        <v>685</v>
      </c>
      <c r="U3" s="143"/>
      <c r="V3" s="144"/>
      <c r="W3" s="145"/>
      <c r="X3" s="146"/>
      <c r="Y3" s="147"/>
      <c r="Z3" s="143"/>
      <c r="AA3" s="144"/>
      <c r="AB3" s="148"/>
      <c r="AC3" s="149"/>
      <c r="AD3" s="149"/>
      <c r="AE3" s="149"/>
      <c r="AF3" s="149"/>
      <c r="AG3" s="149"/>
      <c r="AH3" s="150"/>
      <c r="AI3" s="143"/>
      <c r="AJ3" s="144"/>
    </row>
    <row r="4" spans="1:36" ht="28.5" x14ac:dyDescent="0.65">
      <c r="A4" s="76"/>
      <c r="B4" s="172" t="s">
        <v>1015</v>
      </c>
      <c r="C4" s="172"/>
      <c r="D4" s="172"/>
      <c r="E4" s="172"/>
      <c r="F4" s="172"/>
      <c r="G4" s="172"/>
      <c r="H4" s="172"/>
      <c r="I4" s="172"/>
      <c r="J4" s="77"/>
      <c r="K4" s="75"/>
      <c r="L4" s="75"/>
      <c r="M4" s="75"/>
      <c r="P4" s="136"/>
      <c r="Q4" s="137"/>
      <c r="R4" s="137"/>
      <c r="S4" s="137"/>
      <c r="T4" s="138"/>
      <c r="U4" s="181" t="s">
        <v>714</v>
      </c>
      <c r="V4" s="182" t="s">
        <v>716</v>
      </c>
      <c r="W4" s="180" t="s">
        <v>718</v>
      </c>
      <c r="X4" s="181" t="s">
        <v>729</v>
      </c>
      <c r="Y4" s="182" t="s">
        <v>730</v>
      </c>
      <c r="Z4" s="181" t="s">
        <v>687</v>
      </c>
      <c r="AA4" s="182" t="s">
        <v>717</v>
      </c>
      <c r="AB4" s="181" t="s">
        <v>715</v>
      </c>
      <c r="AC4" s="179" t="s">
        <v>719</v>
      </c>
      <c r="AD4" s="179" t="s">
        <v>720</v>
      </c>
      <c r="AE4" s="179" t="s">
        <v>721</v>
      </c>
      <c r="AF4" s="179" t="s">
        <v>722</v>
      </c>
      <c r="AG4" s="179" t="s">
        <v>723</v>
      </c>
      <c r="AH4" s="182" t="s">
        <v>724</v>
      </c>
      <c r="AI4" s="181" t="s">
        <v>850</v>
      </c>
      <c r="AJ4" s="182" t="s">
        <v>717</v>
      </c>
    </row>
    <row r="5" spans="1:36" x14ac:dyDescent="0.35">
      <c r="B5" s="79"/>
      <c r="C5" s="79"/>
      <c r="D5" s="79"/>
      <c r="E5" s="79"/>
      <c r="F5" s="79"/>
      <c r="G5" s="79"/>
      <c r="H5" s="79"/>
      <c r="I5" s="79"/>
      <c r="J5" s="75"/>
      <c r="K5" s="75"/>
      <c r="L5" s="80"/>
      <c r="M5" s="80"/>
      <c r="P5" s="137" t="s">
        <v>678</v>
      </c>
      <c r="Q5" s="137" t="s">
        <v>725</v>
      </c>
      <c r="R5" s="137" t="s">
        <v>678</v>
      </c>
      <c r="S5" s="137" t="s">
        <v>731</v>
      </c>
      <c r="T5" s="138" t="s">
        <v>672</v>
      </c>
      <c r="U5" s="181"/>
      <c r="V5" s="182"/>
      <c r="W5" s="180"/>
      <c r="X5" s="181"/>
      <c r="Y5" s="182"/>
      <c r="Z5" s="181"/>
      <c r="AA5" s="182"/>
      <c r="AB5" s="181"/>
      <c r="AC5" s="179"/>
      <c r="AD5" s="179"/>
      <c r="AE5" s="179"/>
      <c r="AF5" s="179"/>
      <c r="AG5" s="179"/>
      <c r="AH5" s="182"/>
      <c r="AI5" s="181"/>
      <c r="AJ5" s="182"/>
    </row>
    <row r="6" spans="1:36" ht="21" x14ac:dyDescent="0.5">
      <c r="A6" s="76"/>
      <c r="B6" s="160" t="s">
        <v>683</v>
      </c>
      <c r="C6" s="160"/>
      <c r="D6" s="160"/>
      <c r="E6" s="160"/>
      <c r="F6" s="160"/>
      <c r="G6" s="160"/>
      <c r="H6" s="160"/>
      <c r="I6" s="160"/>
      <c r="J6" s="77"/>
      <c r="K6" s="112" t="s">
        <v>834</v>
      </c>
      <c r="L6" s="110"/>
      <c r="M6" s="111" t="s">
        <v>700</v>
      </c>
      <c r="N6" s="77"/>
      <c r="P6" s="30" t="s">
        <v>725</v>
      </c>
      <c r="Q6" s="31" t="s">
        <v>732</v>
      </c>
      <c r="R6" s="31" t="s">
        <v>733</v>
      </c>
      <c r="S6" s="31" t="s">
        <v>734</v>
      </c>
      <c r="T6" s="32" t="s">
        <v>672</v>
      </c>
      <c r="U6" s="30" t="s">
        <v>735</v>
      </c>
      <c r="V6" s="32">
        <v>1</v>
      </c>
      <c r="W6" s="33" t="s">
        <v>407</v>
      </c>
      <c r="X6" s="30" t="s">
        <v>740</v>
      </c>
      <c r="Y6" s="32" t="s">
        <v>741</v>
      </c>
      <c r="Z6" s="106" t="s">
        <v>736</v>
      </c>
      <c r="AA6" s="100">
        <v>1</v>
      </c>
      <c r="AB6" s="30" t="s">
        <v>729</v>
      </c>
      <c r="AC6" s="99" t="s">
        <v>737</v>
      </c>
      <c r="AD6" s="107">
        <v>0.62</v>
      </c>
      <c r="AE6" s="99" t="s">
        <v>738</v>
      </c>
      <c r="AF6" s="107">
        <v>0.55000000000000004</v>
      </c>
      <c r="AG6" s="99" t="s">
        <v>739</v>
      </c>
      <c r="AH6" s="100">
        <v>2.13</v>
      </c>
      <c r="AI6" s="30" t="s">
        <v>672</v>
      </c>
      <c r="AJ6" s="32">
        <v>0.35520000000000002</v>
      </c>
    </row>
    <row r="7" spans="1:36" x14ac:dyDescent="0.35">
      <c r="A7" s="76"/>
      <c r="B7" s="113"/>
      <c r="C7" s="113"/>
      <c r="D7" s="113"/>
      <c r="E7" s="113"/>
      <c r="F7" s="113"/>
      <c r="G7" s="113"/>
      <c r="H7" s="113"/>
      <c r="I7" s="113"/>
      <c r="J7" s="77"/>
      <c r="K7" s="112" t="s">
        <v>835</v>
      </c>
      <c r="L7" s="123">
        <v>1</v>
      </c>
      <c r="M7" s="124" t="s">
        <v>701</v>
      </c>
      <c r="N7" s="77"/>
      <c r="P7" s="30" t="s">
        <v>731</v>
      </c>
      <c r="Q7" s="31" t="s">
        <v>742</v>
      </c>
      <c r="R7" s="31" t="s">
        <v>743</v>
      </c>
      <c r="S7" s="31" t="s">
        <v>744</v>
      </c>
      <c r="T7" s="32"/>
      <c r="U7" s="30" t="s">
        <v>745</v>
      </c>
      <c r="V7" s="32"/>
      <c r="W7" s="33" t="s">
        <v>404</v>
      </c>
      <c r="X7" s="30" t="s">
        <v>750</v>
      </c>
      <c r="Y7" s="32"/>
      <c r="Z7" s="106" t="s">
        <v>746</v>
      </c>
      <c r="AA7" s="100">
        <v>0.93</v>
      </c>
      <c r="AB7" s="30" t="s">
        <v>747</v>
      </c>
      <c r="AC7" s="99" t="s">
        <v>748</v>
      </c>
      <c r="AD7" s="107">
        <v>0.72</v>
      </c>
      <c r="AE7" s="99" t="s">
        <v>749</v>
      </c>
      <c r="AF7" s="107">
        <v>1.1000000000000001</v>
      </c>
      <c r="AG7" s="99" t="s">
        <v>843</v>
      </c>
      <c r="AH7" s="100">
        <v>1.74</v>
      </c>
      <c r="AI7" s="84" t="s">
        <v>851</v>
      </c>
      <c r="AJ7" s="85">
        <v>13.303000000000001</v>
      </c>
    </row>
    <row r="8" spans="1:36" x14ac:dyDescent="0.35">
      <c r="A8" s="76"/>
      <c r="B8" s="113"/>
      <c r="C8" s="114" t="s">
        <v>684</v>
      </c>
      <c r="D8" s="114"/>
      <c r="E8" s="114"/>
      <c r="F8" s="161"/>
      <c r="G8" s="161"/>
      <c r="H8" s="161"/>
      <c r="I8" s="113"/>
      <c r="J8" s="77"/>
      <c r="K8" s="76"/>
      <c r="L8" s="123"/>
      <c r="M8" s="125" t="s">
        <v>702</v>
      </c>
      <c r="N8" s="77"/>
      <c r="P8" s="30" t="s">
        <v>672</v>
      </c>
      <c r="Q8" s="31" t="s">
        <v>751</v>
      </c>
      <c r="R8" s="31" t="s">
        <v>765</v>
      </c>
      <c r="S8" s="31" t="s">
        <v>752</v>
      </c>
      <c r="T8" s="32"/>
      <c r="U8" s="30"/>
      <c r="V8" s="32"/>
      <c r="W8" s="33"/>
      <c r="X8" s="30"/>
      <c r="Y8" s="32"/>
      <c r="Z8" s="106" t="s">
        <v>753</v>
      </c>
      <c r="AA8" s="100">
        <v>1.52</v>
      </c>
      <c r="AB8" s="30" t="s">
        <v>730</v>
      </c>
      <c r="AC8" s="99" t="s">
        <v>754</v>
      </c>
      <c r="AD8" s="107">
        <v>0.89</v>
      </c>
      <c r="AE8" s="99" t="s">
        <v>755</v>
      </c>
      <c r="AF8" s="107">
        <v>1.55</v>
      </c>
      <c r="AG8" s="99" t="s">
        <v>756</v>
      </c>
      <c r="AH8" s="100">
        <v>2.87</v>
      </c>
      <c r="AI8" s="84" t="s">
        <v>852</v>
      </c>
      <c r="AJ8" s="85">
        <v>0.33700000000000002</v>
      </c>
    </row>
    <row r="9" spans="1:36" x14ac:dyDescent="0.35">
      <c r="A9" s="76"/>
      <c r="B9" s="113"/>
      <c r="C9" s="114" t="s">
        <v>685</v>
      </c>
      <c r="D9" s="114"/>
      <c r="E9" s="114"/>
      <c r="F9" s="161"/>
      <c r="G9" s="161"/>
      <c r="H9" s="161"/>
      <c r="I9" s="113"/>
      <c r="J9" s="77"/>
      <c r="K9" s="76"/>
      <c r="L9" s="123"/>
      <c r="M9" s="126" t="s">
        <v>703</v>
      </c>
      <c r="N9" s="77"/>
      <c r="P9" s="30"/>
      <c r="Q9" s="31" t="s">
        <v>757</v>
      </c>
      <c r="R9" s="31"/>
      <c r="S9" s="31" t="s">
        <v>857</v>
      </c>
      <c r="T9" s="32"/>
      <c r="U9" s="30"/>
      <c r="V9" s="32"/>
      <c r="W9" s="33"/>
      <c r="X9" s="30"/>
      <c r="Y9" s="32"/>
      <c r="Z9" s="106" t="s">
        <v>758</v>
      </c>
      <c r="AA9" s="100">
        <v>0.85</v>
      </c>
      <c r="AB9" s="30"/>
      <c r="AC9" s="99" t="s">
        <v>759</v>
      </c>
      <c r="AD9" s="107">
        <v>0.56999999999999995</v>
      </c>
      <c r="AE9" s="99" t="s">
        <v>760</v>
      </c>
      <c r="AF9" s="107">
        <v>0.7</v>
      </c>
      <c r="AG9" s="99" t="s">
        <v>761</v>
      </c>
      <c r="AH9" s="100">
        <v>4.9800000000000004</v>
      </c>
      <c r="AI9" s="30" t="s">
        <v>853</v>
      </c>
      <c r="AJ9" s="32">
        <v>0.70199999999999996</v>
      </c>
    </row>
    <row r="10" spans="1:36" x14ac:dyDescent="0.35">
      <c r="A10" s="76"/>
      <c r="B10" s="113"/>
      <c r="C10" s="114" t="s">
        <v>1007</v>
      </c>
      <c r="D10" s="114"/>
      <c r="E10" s="115">
        <v>4</v>
      </c>
      <c r="F10" s="161"/>
      <c r="G10" s="161"/>
      <c r="H10" s="161"/>
      <c r="I10" s="113"/>
      <c r="J10" s="77"/>
      <c r="K10" s="76"/>
      <c r="L10" s="123"/>
      <c r="M10" s="126" t="s">
        <v>704</v>
      </c>
      <c r="N10" s="77"/>
      <c r="P10" s="30"/>
      <c r="Q10" s="31" t="s">
        <v>764</v>
      </c>
      <c r="R10" s="31"/>
      <c r="T10" s="32"/>
      <c r="U10" s="30"/>
      <c r="V10" s="32"/>
      <c r="W10" s="33"/>
      <c r="X10" s="30"/>
      <c r="Y10" s="32"/>
      <c r="Z10" s="106" t="s">
        <v>766</v>
      </c>
      <c r="AA10" s="100">
        <v>0.08</v>
      </c>
      <c r="AB10" s="30"/>
      <c r="AC10" s="99" t="s">
        <v>767</v>
      </c>
      <c r="AD10" s="107">
        <v>0.5</v>
      </c>
      <c r="AE10" s="99" t="s">
        <v>768</v>
      </c>
      <c r="AF10" s="107">
        <v>0.76</v>
      </c>
      <c r="AG10" s="99" t="s">
        <v>769</v>
      </c>
      <c r="AH10" s="100">
        <v>2.21</v>
      </c>
      <c r="AI10" s="30" t="s">
        <v>854</v>
      </c>
      <c r="AJ10" s="32">
        <v>0.33700000000000002</v>
      </c>
    </row>
    <row r="11" spans="1:36" x14ac:dyDescent="0.35">
      <c r="A11" s="76"/>
      <c r="B11" s="113"/>
      <c r="C11" s="114" t="str">
        <f>IF(F10="Yes","Approved Level","")</f>
        <v/>
      </c>
      <c r="D11" s="114"/>
      <c r="E11" s="114"/>
      <c r="F11" s="161"/>
      <c r="G11" s="161"/>
      <c r="H11" s="161"/>
      <c r="I11" s="113"/>
      <c r="J11" s="77"/>
      <c r="K11" s="76"/>
      <c r="L11" s="123"/>
      <c r="M11" s="126" t="s">
        <v>705</v>
      </c>
      <c r="N11" s="77"/>
      <c r="P11" s="30"/>
      <c r="Q11" s="31" t="s">
        <v>771</v>
      </c>
      <c r="R11" s="31"/>
      <c r="S11" s="31"/>
      <c r="T11" s="32"/>
      <c r="U11" s="30"/>
      <c r="V11" s="32"/>
      <c r="W11" s="33"/>
      <c r="X11" s="30"/>
      <c r="Y11" s="32"/>
      <c r="Z11" s="106" t="s">
        <v>772</v>
      </c>
      <c r="AA11" s="100">
        <v>1.7</v>
      </c>
      <c r="AB11" s="30"/>
      <c r="AC11" s="99" t="s">
        <v>773</v>
      </c>
      <c r="AD11" s="107">
        <v>0.69</v>
      </c>
      <c r="AE11" s="99" t="s">
        <v>774</v>
      </c>
      <c r="AF11" s="107">
        <v>1.04</v>
      </c>
      <c r="AG11" s="99" t="s">
        <v>775</v>
      </c>
      <c r="AH11" s="100">
        <v>1.79</v>
      </c>
      <c r="AI11" s="30"/>
      <c r="AJ11" s="32"/>
    </row>
    <row r="12" spans="1:36" x14ac:dyDescent="0.35">
      <c r="A12" s="76"/>
      <c r="B12" s="113"/>
      <c r="C12" s="114"/>
      <c r="D12" s="114"/>
      <c r="E12" s="114"/>
      <c r="F12" s="116"/>
      <c r="G12" s="116"/>
      <c r="H12" s="116"/>
      <c r="I12" s="113"/>
      <c r="J12" s="77"/>
      <c r="K12" s="76"/>
      <c r="L12" s="123">
        <v>2</v>
      </c>
      <c r="M12" s="124" t="s">
        <v>855</v>
      </c>
      <c r="N12" s="77"/>
      <c r="P12" s="30"/>
      <c r="Q12" s="31" t="s">
        <v>776</v>
      </c>
      <c r="R12" s="31"/>
      <c r="S12" s="31"/>
      <c r="T12" s="32"/>
      <c r="U12" s="30"/>
      <c r="V12" s="32"/>
      <c r="W12" s="33"/>
      <c r="X12" s="30"/>
      <c r="Y12" s="32"/>
      <c r="Z12" s="106" t="s">
        <v>777</v>
      </c>
      <c r="AA12" s="100">
        <v>1.38</v>
      </c>
      <c r="AB12" s="30"/>
      <c r="AC12" s="99" t="s">
        <v>844</v>
      </c>
      <c r="AD12" s="107">
        <v>0.5</v>
      </c>
      <c r="AE12" s="99" t="s">
        <v>778</v>
      </c>
      <c r="AF12" s="107">
        <v>1.1200000000000001</v>
      </c>
      <c r="AG12" s="99" t="s">
        <v>779</v>
      </c>
      <c r="AH12" s="100">
        <v>2.42</v>
      </c>
      <c r="AI12" s="30"/>
      <c r="AJ12" s="32"/>
    </row>
    <row r="13" spans="1:36" x14ac:dyDescent="0.35">
      <c r="A13" s="76"/>
      <c r="B13" s="113"/>
      <c r="C13" s="114" t="s">
        <v>686</v>
      </c>
      <c r="D13" s="114"/>
      <c r="E13" s="114"/>
      <c r="F13" s="162"/>
      <c r="G13" s="162"/>
      <c r="H13" s="162"/>
      <c r="I13" s="113"/>
      <c r="J13" s="77"/>
      <c r="K13" s="129">
        <f>IFERROR(F13,0)</f>
        <v>0</v>
      </c>
      <c r="L13" s="123"/>
      <c r="M13" s="126" t="s">
        <v>849</v>
      </c>
      <c r="N13" s="77"/>
      <c r="P13" s="30"/>
      <c r="Q13" s="31" t="s">
        <v>780</v>
      </c>
      <c r="R13" s="31"/>
      <c r="S13" s="31"/>
      <c r="T13" s="32"/>
      <c r="U13" s="30"/>
      <c r="V13" s="32"/>
      <c r="W13" s="33"/>
      <c r="X13" s="30"/>
      <c r="Y13" s="32"/>
      <c r="Z13" s="30"/>
      <c r="AA13" s="32"/>
      <c r="AB13" s="30"/>
      <c r="AC13" s="99" t="s">
        <v>781</v>
      </c>
      <c r="AD13" s="107">
        <v>0.65</v>
      </c>
      <c r="AE13" s="99" t="s">
        <v>782</v>
      </c>
      <c r="AF13" s="107">
        <v>1.01</v>
      </c>
      <c r="AG13" s="99" t="s">
        <v>783</v>
      </c>
      <c r="AH13" s="100">
        <v>2.54</v>
      </c>
      <c r="AI13" s="30"/>
      <c r="AJ13" s="32"/>
    </row>
    <row r="14" spans="1:36" x14ac:dyDescent="0.35">
      <c r="A14" s="76"/>
      <c r="B14" s="113"/>
      <c r="C14" s="114" t="s">
        <v>1008</v>
      </c>
      <c r="D14" s="117"/>
      <c r="E14" s="115">
        <v>5</v>
      </c>
      <c r="F14" s="166"/>
      <c r="G14" s="166"/>
      <c r="H14" s="166"/>
      <c r="I14" s="113"/>
      <c r="J14" s="77"/>
      <c r="K14" s="129">
        <f>IFERROR(VLOOKUP(F17,'Trial Pricing Calculator '!Z:AA,2,0),1)</f>
        <v>1</v>
      </c>
      <c r="L14" s="123">
        <v>3</v>
      </c>
      <c r="M14" s="124" t="s">
        <v>706</v>
      </c>
      <c r="N14" s="77"/>
      <c r="P14" s="30"/>
      <c r="Q14" s="31"/>
      <c r="R14" s="31"/>
      <c r="S14" s="31"/>
      <c r="T14" s="32"/>
      <c r="U14" s="30"/>
      <c r="V14" s="32"/>
      <c r="W14" s="33"/>
      <c r="X14" s="30"/>
      <c r="Y14" s="32"/>
      <c r="Z14" s="30"/>
      <c r="AA14" s="32"/>
      <c r="AB14" s="30"/>
      <c r="AC14" s="99" t="s">
        <v>784</v>
      </c>
      <c r="AD14" s="107">
        <v>0.75</v>
      </c>
      <c r="AE14" s="99" t="s">
        <v>785</v>
      </c>
      <c r="AF14" s="107">
        <v>0.36</v>
      </c>
      <c r="AG14" s="99" t="s">
        <v>786</v>
      </c>
      <c r="AH14" s="100">
        <v>2.57</v>
      </c>
      <c r="AI14" s="30"/>
      <c r="AJ14" s="32"/>
    </row>
    <row r="15" spans="1:36" x14ac:dyDescent="0.35">
      <c r="A15" s="76"/>
      <c r="B15" s="113"/>
      <c r="C15" s="118" t="s">
        <v>865</v>
      </c>
      <c r="D15" s="117"/>
      <c r="E15" s="113"/>
      <c r="F15" s="167">
        <f>F13+F14</f>
        <v>0</v>
      </c>
      <c r="G15" s="167"/>
      <c r="H15" s="167"/>
      <c r="I15" s="113"/>
      <c r="J15" s="77"/>
      <c r="K15" s="129">
        <f>F18*100</f>
        <v>0</v>
      </c>
      <c r="L15" s="123"/>
      <c r="M15" s="126" t="s">
        <v>707</v>
      </c>
      <c r="N15" s="77"/>
      <c r="P15" s="30"/>
      <c r="Q15" s="31"/>
      <c r="R15" s="31"/>
      <c r="S15" s="31"/>
      <c r="T15" s="32"/>
      <c r="U15" s="30"/>
      <c r="V15" s="32"/>
      <c r="W15" s="33"/>
      <c r="X15" s="30"/>
      <c r="Y15" s="32"/>
      <c r="Z15" s="30"/>
      <c r="AA15" s="32"/>
      <c r="AB15" s="30"/>
      <c r="AC15" s="99" t="s">
        <v>787</v>
      </c>
      <c r="AD15" s="107">
        <v>1.1299999999999999</v>
      </c>
      <c r="AE15" s="99" t="s">
        <v>788</v>
      </c>
      <c r="AF15" s="107">
        <v>0.38</v>
      </c>
      <c r="AG15" s="99" t="s">
        <v>789</v>
      </c>
      <c r="AH15" s="100">
        <v>1.79</v>
      </c>
      <c r="AI15" s="30"/>
      <c r="AJ15" s="32"/>
    </row>
    <row r="16" spans="1:36" x14ac:dyDescent="0.35">
      <c r="A16" s="76"/>
      <c r="B16" s="113"/>
      <c r="C16" s="113"/>
      <c r="D16" s="113"/>
      <c r="E16" s="113"/>
      <c r="F16" s="113"/>
      <c r="G16" s="113"/>
      <c r="H16" s="113"/>
      <c r="I16" s="113"/>
      <c r="J16" s="77"/>
      <c r="K16" s="130">
        <f>IF(F19=0,0,F19)</f>
        <v>0</v>
      </c>
      <c r="L16" s="123">
        <v>4</v>
      </c>
      <c r="M16" s="124" t="s">
        <v>840</v>
      </c>
      <c r="P16" s="30"/>
      <c r="Q16" s="31"/>
      <c r="R16" s="31"/>
      <c r="S16" s="31"/>
      <c r="T16" s="32"/>
      <c r="U16" s="30"/>
      <c r="V16" s="32"/>
      <c r="W16" s="33"/>
      <c r="X16" s="30"/>
      <c r="Y16" s="32"/>
      <c r="Z16" s="30"/>
      <c r="AA16" s="32"/>
      <c r="AB16" s="30"/>
      <c r="AC16" s="99" t="s">
        <v>845</v>
      </c>
      <c r="AD16" s="107">
        <v>0.16</v>
      </c>
      <c r="AE16" s="99" t="s">
        <v>791</v>
      </c>
      <c r="AF16" s="107">
        <v>2.0499999999999998</v>
      </c>
      <c r="AG16" s="99" t="s">
        <v>792</v>
      </c>
      <c r="AH16" s="100">
        <v>2.35</v>
      </c>
      <c r="AI16" s="30"/>
      <c r="AJ16" s="32"/>
    </row>
    <row r="17" spans="1:36" x14ac:dyDescent="0.35">
      <c r="A17" s="76"/>
      <c r="B17" s="113"/>
      <c r="C17" s="114" t="s">
        <v>687</v>
      </c>
      <c r="D17" s="114"/>
      <c r="E17" s="114"/>
      <c r="F17" s="161"/>
      <c r="G17" s="161"/>
      <c r="H17" s="161"/>
      <c r="I17" s="113"/>
      <c r="J17" s="77"/>
      <c r="K17" s="130">
        <f>_xlfn.NUMBERVALUE(IF(F21="",F20,SUM(F20*F21)))</f>
        <v>0</v>
      </c>
      <c r="L17" s="123"/>
      <c r="M17" s="127" t="s">
        <v>841</v>
      </c>
      <c r="P17" s="30"/>
      <c r="Q17" s="31"/>
      <c r="R17" s="31"/>
      <c r="S17" s="31"/>
      <c r="T17" s="32"/>
      <c r="U17" s="30"/>
      <c r="V17" s="32"/>
      <c r="W17" s="33"/>
      <c r="X17" s="30"/>
      <c r="Y17" s="32"/>
      <c r="Z17" s="30"/>
      <c r="AA17" s="32"/>
      <c r="AB17" s="30"/>
      <c r="AC17" s="99" t="s">
        <v>793</v>
      </c>
      <c r="AD17" s="107">
        <v>0.16</v>
      </c>
      <c r="AE17" s="99" t="s">
        <v>794</v>
      </c>
      <c r="AF17" s="107">
        <v>1.47</v>
      </c>
      <c r="AG17" s="99" t="s">
        <v>795</v>
      </c>
      <c r="AH17" s="100">
        <v>4.92</v>
      </c>
      <c r="AI17" s="30"/>
      <c r="AJ17" s="32"/>
    </row>
    <row r="18" spans="1:36" x14ac:dyDescent="0.35">
      <c r="A18" s="76"/>
      <c r="B18" s="113"/>
      <c r="C18" s="114" t="s">
        <v>688</v>
      </c>
      <c r="D18" s="114"/>
      <c r="E18" s="114"/>
      <c r="F18" s="163"/>
      <c r="G18" s="163"/>
      <c r="H18" s="163"/>
      <c r="I18" s="113"/>
      <c r="J18" s="77"/>
      <c r="K18" s="129">
        <f>K17*1000</f>
        <v>0</v>
      </c>
      <c r="L18" s="123"/>
      <c r="M18" s="127" t="s">
        <v>842</v>
      </c>
      <c r="N18" s="77"/>
      <c r="P18" s="30"/>
      <c r="Q18" s="31"/>
      <c r="R18" s="31"/>
      <c r="S18" s="31"/>
      <c r="T18" s="32"/>
      <c r="U18" s="30"/>
      <c r="V18" s="32"/>
      <c r="W18" s="33"/>
      <c r="X18" s="30"/>
      <c r="Y18" s="32"/>
      <c r="Z18" s="30"/>
      <c r="AA18" s="32"/>
      <c r="AB18" s="30"/>
      <c r="AC18" s="99" t="s">
        <v>796</v>
      </c>
      <c r="AD18" s="107">
        <v>0.39</v>
      </c>
      <c r="AE18" s="99" t="s">
        <v>797</v>
      </c>
      <c r="AF18" s="107">
        <v>1.92</v>
      </c>
      <c r="AG18" s="99" t="s">
        <v>798</v>
      </c>
      <c r="AH18" s="100">
        <v>4.37</v>
      </c>
      <c r="AI18" s="30"/>
      <c r="AJ18" s="32"/>
    </row>
    <row r="19" spans="1:36" x14ac:dyDescent="0.35">
      <c r="A19" s="76"/>
      <c r="B19" s="113"/>
      <c r="C19" s="114" t="s">
        <v>1010</v>
      </c>
      <c r="D19" s="114"/>
      <c r="E19" s="114"/>
      <c r="F19" s="161"/>
      <c r="G19" s="161"/>
      <c r="H19" s="161"/>
      <c r="I19" s="113"/>
      <c r="J19" s="77"/>
      <c r="K19" s="76">
        <f>IFERROR(IF(OR(F21="",F21=0),1,IF(F21&lt;&gt;1,F21)),1)</f>
        <v>1</v>
      </c>
      <c r="L19" s="123">
        <v>5</v>
      </c>
      <c r="M19" s="124" t="s">
        <v>866</v>
      </c>
      <c r="N19" s="77"/>
      <c r="P19" s="30"/>
      <c r="Q19" s="31"/>
      <c r="R19" s="31"/>
      <c r="S19" s="31"/>
      <c r="T19" s="32"/>
      <c r="U19" s="30"/>
      <c r="V19" s="32"/>
      <c r="W19" s="33"/>
      <c r="X19" s="30"/>
      <c r="Y19" s="32"/>
      <c r="Z19" s="30"/>
      <c r="AA19" s="32"/>
      <c r="AB19" s="30"/>
      <c r="AC19" s="99" t="s">
        <v>799</v>
      </c>
      <c r="AD19" s="107">
        <v>1.67</v>
      </c>
      <c r="AE19" s="99" t="s">
        <v>800</v>
      </c>
      <c r="AF19" s="107">
        <v>0.82</v>
      </c>
      <c r="AG19" s="99" t="s">
        <v>801</v>
      </c>
      <c r="AH19" s="100">
        <v>2.25</v>
      </c>
      <c r="AI19" s="30"/>
      <c r="AJ19" s="32"/>
    </row>
    <row r="20" spans="1:36" x14ac:dyDescent="0.35">
      <c r="A20" s="76"/>
      <c r="B20" s="113"/>
      <c r="C20" s="114" t="s">
        <v>847</v>
      </c>
      <c r="D20" s="114"/>
      <c r="E20" s="114"/>
      <c r="F20" s="165"/>
      <c r="G20" s="165"/>
      <c r="H20" s="165"/>
      <c r="I20" s="113"/>
      <c r="J20" s="77"/>
      <c r="K20" s="76"/>
      <c r="L20" s="123"/>
      <c r="M20" s="128" t="s">
        <v>867</v>
      </c>
      <c r="N20" s="77"/>
      <c r="P20" s="30"/>
      <c r="Q20" s="31"/>
      <c r="R20" s="31"/>
      <c r="S20" s="31"/>
      <c r="T20" s="32"/>
      <c r="U20" s="30"/>
      <c r="V20" s="32"/>
      <c r="W20" s="33"/>
      <c r="X20" s="30"/>
      <c r="Y20" s="32"/>
      <c r="Z20" s="30"/>
      <c r="AA20" s="32"/>
      <c r="AB20" s="30"/>
      <c r="AC20" s="99" t="s">
        <v>802</v>
      </c>
      <c r="AD20" s="107">
        <v>0.65</v>
      </c>
      <c r="AE20" s="99" t="s">
        <v>803</v>
      </c>
      <c r="AF20" s="107">
        <v>0.52</v>
      </c>
      <c r="AG20" s="99" t="s">
        <v>804</v>
      </c>
      <c r="AH20" s="100">
        <v>2.12</v>
      </c>
      <c r="AI20" s="30"/>
      <c r="AJ20" s="32"/>
    </row>
    <row r="21" spans="1:36" x14ac:dyDescent="0.35">
      <c r="A21" s="76"/>
      <c r="B21" s="113"/>
      <c r="C21" s="119" t="s">
        <v>1009</v>
      </c>
      <c r="D21" s="114"/>
      <c r="E21" s="114"/>
      <c r="F21" s="168"/>
      <c r="G21" s="169"/>
      <c r="H21" s="170"/>
      <c r="I21" s="113"/>
      <c r="J21" s="77"/>
      <c r="K21" s="131">
        <f>IF(F23="Canada",VLOOKUP(F24,'Trial Pricing Calculator '!AC:AD,2,0),IF(F23="USA",VLOOKUP(F24,'Trial Pricing Calculator '!AE:AF,2,0),IF(F23="International",VLOOKUP(F24,'Trial Pricing Calculator '!AG:AH,2,0),0)))</f>
        <v>0</v>
      </c>
      <c r="L21" s="123"/>
      <c r="M21" s="127"/>
      <c r="N21" s="77"/>
      <c r="P21" s="30"/>
      <c r="Q21" s="31"/>
      <c r="R21" s="31"/>
      <c r="S21" s="31"/>
      <c r="T21" s="32"/>
      <c r="U21" s="30"/>
      <c r="V21" s="32"/>
      <c r="W21" s="33"/>
      <c r="X21" s="30"/>
      <c r="Y21" s="32"/>
      <c r="Z21" s="30"/>
      <c r="AA21" s="32"/>
      <c r="AB21" s="30"/>
      <c r="AC21" s="99" t="s">
        <v>805</v>
      </c>
      <c r="AD21" s="107">
        <v>0.5</v>
      </c>
      <c r="AE21" s="99" t="s">
        <v>806</v>
      </c>
      <c r="AF21" s="107">
        <v>1.33</v>
      </c>
      <c r="AG21" s="99" t="s">
        <v>807</v>
      </c>
      <c r="AH21" s="100">
        <v>1.78</v>
      </c>
      <c r="AI21" s="30"/>
      <c r="AJ21" s="32"/>
    </row>
    <row r="22" spans="1:36" x14ac:dyDescent="0.35">
      <c r="A22" s="76"/>
      <c r="B22" s="113"/>
      <c r="C22" s="119" t="str">
        <f>IF(F8="Beer","     Container Type","")</f>
        <v/>
      </c>
      <c r="D22" s="114"/>
      <c r="E22" s="114"/>
      <c r="F22" s="164"/>
      <c r="G22" s="164"/>
      <c r="H22" s="164"/>
      <c r="I22" s="113"/>
      <c r="J22" s="77"/>
      <c r="K22" s="76"/>
      <c r="L22" s="75"/>
      <c r="M22" s="75"/>
      <c r="N22" s="77"/>
      <c r="P22" s="30"/>
      <c r="Q22" s="31"/>
      <c r="R22" s="31"/>
      <c r="S22" s="31"/>
      <c r="T22" s="32"/>
      <c r="U22" s="30"/>
      <c r="V22" s="32"/>
      <c r="W22" s="33"/>
      <c r="X22" s="30"/>
      <c r="Y22" s="32"/>
      <c r="Z22" s="30"/>
      <c r="AA22" s="32"/>
      <c r="AB22" s="30"/>
      <c r="AC22" s="99" t="s">
        <v>808</v>
      </c>
      <c r="AD22" s="107">
        <v>0.5</v>
      </c>
      <c r="AE22" s="99" t="s">
        <v>809</v>
      </c>
      <c r="AF22" s="107">
        <v>2.2799999999999998</v>
      </c>
      <c r="AG22" s="99" t="s">
        <v>810</v>
      </c>
      <c r="AH22" s="100">
        <v>1.78</v>
      </c>
      <c r="AI22" s="30"/>
      <c r="AJ22" s="32"/>
    </row>
    <row r="23" spans="1:36" ht="15" customHeight="1" x14ac:dyDescent="0.35">
      <c r="A23" s="76"/>
      <c r="B23" s="113"/>
      <c r="C23" s="114" t="s">
        <v>689</v>
      </c>
      <c r="D23" s="114"/>
      <c r="E23" s="114"/>
      <c r="F23" s="161"/>
      <c r="G23" s="161"/>
      <c r="H23" s="161"/>
      <c r="I23" s="113"/>
      <c r="J23" s="77"/>
      <c r="K23" s="76"/>
      <c r="L23" s="110"/>
      <c r="M23" s="111" t="s">
        <v>856</v>
      </c>
      <c r="N23" s="77"/>
      <c r="P23" s="30"/>
      <c r="Q23" s="31"/>
      <c r="R23" s="31"/>
      <c r="S23" s="31"/>
      <c r="T23" s="32"/>
      <c r="U23" s="30"/>
      <c r="V23" s="32"/>
      <c r="W23" s="33"/>
      <c r="X23" s="30"/>
      <c r="Y23" s="32"/>
      <c r="Z23" s="30"/>
      <c r="AA23" s="32"/>
      <c r="AB23" s="30"/>
      <c r="AC23" s="99" t="s">
        <v>846</v>
      </c>
      <c r="AD23" s="107">
        <v>0.95</v>
      </c>
      <c r="AE23" s="99" t="s">
        <v>813</v>
      </c>
      <c r="AF23" s="107">
        <v>1.1599999999999999</v>
      </c>
      <c r="AG23" s="99" t="s">
        <v>814</v>
      </c>
      <c r="AH23" s="100">
        <v>2.12</v>
      </c>
      <c r="AI23" s="30"/>
      <c r="AJ23" s="32"/>
    </row>
    <row r="24" spans="1:36" x14ac:dyDescent="0.35">
      <c r="A24" s="76"/>
      <c r="B24" s="113"/>
      <c r="C24" s="114" t="s">
        <v>837</v>
      </c>
      <c r="D24" s="114"/>
      <c r="E24" s="114"/>
      <c r="F24" s="161"/>
      <c r="G24" s="161"/>
      <c r="H24" s="161"/>
      <c r="I24" s="113"/>
      <c r="J24" s="77"/>
      <c r="K24" s="76"/>
      <c r="L24" s="132"/>
      <c r="M24" s="133" t="s">
        <v>878</v>
      </c>
      <c r="N24" s="77"/>
      <c r="P24" s="30"/>
      <c r="Q24" s="31"/>
      <c r="R24" s="31"/>
      <c r="S24" s="31"/>
      <c r="T24" s="32"/>
      <c r="U24" s="30"/>
      <c r="V24" s="32"/>
      <c r="W24" s="33"/>
      <c r="X24" s="30"/>
      <c r="Y24" s="32"/>
      <c r="Z24" s="30"/>
      <c r="AA24" s="32"/>
      <c r="AB24" s="30"/>
      <c r="AC24" s="99" t="s">
        <v>815</v>
      </c>
      <c r="AD24" s="107">
        <v>1.34</v>
      </c>
      <c r="AE24" s="99" t="s">
        <v>816</v>
      </c>
      <c r="AF24" s="107">
        <v>0</v>
      </c>
      <c r="AG24" s="99" t="s">
        <v>817</v>
      </c>
      <c r="AH24" s="100">
        <v>1.57</v>
      </c>
      <c r="AI24" s="30"/>
      <c r="AJ24" s="32"/>
    </row>
    <row r="25" spans="1:36" x14ac:dyDescent="0.35">
      <c r="A25" s="76"/>
      <c r="B25" s="113"/>
      <c r="C25" s="114" t="s">
        <v>1004</v>
      </c>
      <c r="D25" s="115"/>
      <c r="E25" s="115">
        <v>1</v>
      </c>
      <c r="F25" s="156"/>
      <c r="G25" s="156"/>
      <c r="H25" s="156"/>
      <c r="I25" s="113"/>
      <c r="J25" s="77"/>
      <c r="K25" s="76"/>
      <c r="L25" s="132"/>
      <c r="M25" s="133" t="s">
        <v>879</v>
      </c>
      <c r="N25" s="77"/>
      <c r="P25" s="30"/>
      <c r="Q25" s="31"/>
      <c r="R25" s="31"/>
      <c r="S25" s="31"/>
      <c r="T25" s="32"/>
      <c r="U25" s="30"/>
      <c r="V25" s="32"/>
      <c r="W25" s="33"/>
      <c r="X25" s="30"/>
      <c r="Y25" s="32"/>
      <c r="Z25" s="30"/>
      <c r="AA25" s="32"/>
      <c r="AB25" s="30"/>
      <c r="AC25" s="99" t="s">
        <v>818</v>
      </c>
      <c r="AD25" s="107">
        <v>0</v>
      </c>
      <c r="AE25" s="31"/>
      <c r="AF25" s="96"/>
      <c r="AG25" s="99" t="s">
        <v>819</v>
      </c>
      <c r="AH25" s="100">
        <v>2.33</v>
      </c>
      <c r="AI25" s="30"/>
      <c r="AJ25" s="32"/>
    </row>
    <row r="26" spans="1:36" x14ac:dyDescent="0.35">
      <c r="B26" s="113"/>
      <c r="C26" s="117" t="s">
        <v>1005</v>
      </c>
      <c r="D26" s="117"/>
      <c r="E26" s="115">
        <v>2</v>
      </c>
      <c r="F26" s="120"/>
      <c r="G26" s="157"/>
      <c r="H26" s="158"/>
      <c r="I26" s="113"/>
      <c r="J26" s="75"/>
      <c r="K26" s="76"/>
      <c r="L26" s="132"/>
      <c r="M26" s="133" t="s">
        <v>1011</v>
      </c>
      <c r="N26" s="77"/>
      <c r="P26" s="30"/>
      <c r="Q26" s="31"/>
      <c r="R26" s="31"/>
      <c r="S26" s="31"/>
      <c r="T26" s="32"/>
      <c r="U26" s="30"/>
      <c r="V26" s="32"/>
      <c r="W26" s="33"/>
      <c r="X26" s="30"/>
      <c r="Y26" s="32"/>
      <c r="Z26" s="30"/>
      <c r="AA26" s="32"/>
      <c r="AB26" s="30"/>
      <c r="AC26" s="99" t="s">
        <v>816</v>
      </c>
      <c r="AD26" s="107">
        <v>0</v>
      </c>
      <c r="AE26" s="31"/>
      <c r="AF26" s="96"/>
      <c r="AG26" s="99" t="s">
        <v>822</v>
      </c>
      <c r="AH26" s="100">
        <v>1.96</v>
      </c>
      <c r="AI26" s="30"/>
      <c r="AJ26" s="32"/>
    </row>
    <row r="27" spans="1:36" x14ac:dyDescent="0.35">
      <c r="A27" s="76"/>
      <c r="B27" s="113"/>
      <c r="C27" s="121"/>
      <c r="D27" s="117"/>
      <c r="E27" s="113"/>
      <c r="F27" s="113"/>
      <c r="G27" s="113"/>
      <c r="H27" s="113"/>
      <c r="I27" s="113"/>
      <c r="J27" s="77"/>
      <c r="K27" s="76"/>
      <c r="L27" s="132"/>
      <c r="M27" s="134" t="s">
        <v>880</v>
      </c>
      <c r="N27" s="77"/>
      <c r="P27" s="30"/>
      <c r="Q27" s="31"/>
      <c r="R27" s="31"/>
      <c r="S27" s="31"/>
      <c r="T27" s="32"/>
      <c r="U27" s="30"/>
      <c r="V27" s="32"/>
      <c r="W27" s="33"/>
      <c r="X27" s="30"/>
      <c r="Y27" s="32"/>
      <c r="Z27" s="30"/>
      <c r="AA27" s="32"/>
      <c r="AB27" s="30"/>
      <c r="AC27" s="31"/>
      <c r="AD27" s="96"/>
      <c r="AE27" s="31"/>
      <c r="AF27" s="96"/>
      <c r="AG27" s="99" t="s">
        <v>823</v>
      </c>
      <c r="AH27" s="100">
        <v>2.4300000000000002</v>
      </c>
      <c r="AI27" s="30"/>
      <c r="AJ27" s="32"/>
    </row>
    <row r="28" spans="1:36" x14ac:dyDescent="0.35">
      <c r="A28" s="76"/>
      <c r="B28" s="113"/>
      <c r="C28" s="113"/>
      <c r="D28" s="113"/>
      <c r="E28" s="113"/>
      <c r="F28" s="113"/>
      <c r="G28" s="113"/>
      <c r="H28" s="113"/>
      <c r="I28" s="113"/>
      <c r="J28" s="77"/>
      <c r="K28" s="76"/>
      <c r="L28" s="75"/>
      <c r="M28" s="75"/>
      <c r="N28" s="77"/>
      <c r="P28" s="30"/>
      <c r="Q28" s="31"/>
      <c r="R28" s="31"/>
      <c r="S28" s="31"/>
      <c r="T28" s="32"/>
      <c r="U28" s="30"/>
      <c r="V28" s="32"/>
      <c r="W28" s="33"/>
      <c r="X28" s="30"/>
      <c r="Y28" s="32"/>
      <c r="Z28" s="30"/>
      <c r="AA28" s="32"/>
      <c r="AB28" s="30"/>
      <c r="AC28" s="31"/>
      <c r="AD28" s="96"/>
      <c r="AE28" s="31"/>
      <c r="AF28" s="96"/>
      <c r="AG28" s="99" t="s">
        <v>824</v>
      </c>
      <c r="AH28" s="100">
        <v>2.59</v>
      </c>
      <c r="AI28" s="30"/>
      <c r="AJ28" s="32"/>
    </row>
    <row r="29" spans="1:36" ht="15.5" x14ac:dyDescent="0.35">
      <c r="A29" s="76"/>
      <c r="B29" s="79"/>
      <c r="C29" s="79"/>
      <c r="D29" s="79"/>
      <c r="E29" s="79"/>
      <c r="F29" s="79"/>
      <c r="G29" s="79"/>
      <c r="H29" s="79"/>
      <c r="I29" s="79"/>
      <c r="J29" s="77"/>
      <c r="K29" s="72" t="s">
        <v>836</v>
      </c>
      <c r="L29" s="110"/>
      <c r="M29" s="111" t="s">
        <v>708</v>
      </c>
      <c r="N29" s="77"/>
      <c r="P29" s="30"/>
      <c r="Q29" s="31"/>
      <c r="R29" s="31"/>
      <c r="S29" s="31"/>
      <c r="T29" s="32"/>
      <c r="U29" s="30"/>
      <c r="V29" s="32"/>
      <c r="W29" s="33"/>
      <c r="X29" s="30"/>
      <c r="Y29" s="32"/>
      <c r="Z29" s="30"/>
      <c r="AA29" s="32"/>
      <c r="AB29" s="30"/>
      <c r="AC29" s="31"/>
      <c r="AD29" s="96"/>
      <c r="AE29" s="31"/>
      <c r="AF29" s="96"/>
      <c r="AG29" s="99" t="s">
        <v>825</v>
      </c>
      <c r="AH29" s="100">
        <v>2.16</v>
      </c>
      <c r="AI29" s="30"/>
      <c r="AJ29" s="32"/>
    </row>
    <row r="30" spans="1:36" ht="21" x14ac:dyDescent="0.5">
      <c r="A30" s="76"/>
      <c r="B30" s="160" t="s">
        <v>691</v>
      </c>
      <c r="C30" s="160"/>
      <c r="D30" s="160"/>
      <c r="E30" s="160"/>
      <c r="F30" s="160"/>
      <c r="G30" s="160"/>
      <c r="H30" s="160"/>
      <c r="I30" s="160"/>
      <c r="J30" s="77"/>
      <c r="K30" s="129">
        <f>IF(F42="",SUM(F32+F33+F34+F35),SUM(F32+F33+F34+F35+F42))</f>
        <v>0</v>
      </c>
      <c r="L30" s="132"/>
      <c r="M30" s="124" t="s">
        <v>709</v>
      </c>
      <c r="N30" s="77"/>
      <c r="P30" s="30"/>
      <c r="Q30" s="31"/>
      <c r="R30" s="31"/>
      <c r="S30" s="31"/>
      <c r="T30" s="32"/>
      <c r="U30" s="30"/>
      <c r="V30" s="32"/>
      <c r="W30" s="33"/>
      <c r="X30" s="30"/>
      <c r="Y30" s="32"/>
      <c r="Z30" s="30"/>
      <c r="AA30" s="32"/>
      <c r="AB30" s="30"/>
      <c r="AC30" s="31"/>
      <c r="AD30" s="96"/>
      <c r="AE30" s="31"/>
      <c r="AF30" s="96"/>
      <c r="AG30" s="99" t="s">
        <v>826</v>
      </c>
      <c r="AH30" s="100">
        <v>2.25</v>
      </c>
      <c r="AI30" s="30"/>
      <c r="AJ30" s="32"/>
    </row>
    <row r="31" spans="1:36" x14ac:dyDescent="0.35">
      <c r="A31" s="76"/>
      <c r="B31" s="113"/>
      <c r="C31" s="113"/>
      <c r="D31" s="113"/>
      <c r="E31" s="113"/>
      <c r="F31" s="113"/>
      <c r="G31" s="113"/>
      <c r="H31" s="113"/>
      <c r="I31" s="113"/>
      <c r="J31" s="77"/>
      <c r="K31" s="76"/>
      <c r="L31" s="132"/>
      <c r="M31" s="124" t="s">
        <v>868</v>
      </c>
      <c r="N31" s="77"/>
      <c r="P31" s="30"/>
      <c r="Q31" s="31"/>
      <c r="R31" s="31"/>
      <c r="S31" s="31"/>
      <c r="T31" s="32"/>
      <c r="U31" s="30"/>
      <c r="V31" s="32"/>
      <c r="W31" s="33"/>
      <c r="X31" s="30"/>
      <c r="Y31" s="32"/>
      <c r="Z31" s="30"/>
      <c r="AA31" s="32"/>
      <c r="AB31" s="30"/>
      <c r="AC31" s="31"/>
      <c r="AD31" s="96"/>
      <c r="AE31" s="31"/>
      <c r="AF31" s="96"/>
      <c r="AG31" s="99" t="s">
        <v>827</v>
      </c>
      <c r="AH31" s="100">
        <v>3.92</v>
      </c>
      <c r="AI31" s="30"/>
      <c r="AJ31" s="32"/>
    </row>
    <row r="32" spans="1:36" x14ac:dyDescent="0.35">
      <c r="A32" s="76"/>
      <c r="B32" s="113"/>
      <c r="C32" s="114" t="s">
        <v>692</v>
      </c>
      <c r="D32" s="114"/>
      <c r="E32" s="114"/>
      <c r="F32" s="152" t="str">
        <f>IFERROR(SUM(K13/K16)*K14,"0.0000")</f>
        <v>0.0000</v>
      </c>
      <c r="G32" s="152"/>
      <c r="H32" s="152"/>
      <c r="I32" s="113"/>
      <c r="J32" s="77"/>
      <c r="K32" s="76"/>
      <c r="L32" s="132"/>
      <c r="M32" s="126" t="s">
        <v>838</v>
      </c>
      <c r="N32" s="77"/>
      <c r="P32" s="30"/>
      <c r="Q32" s="31"/>
      <c r="R32" s="31"/>
      <c r="S32" s="31"/>
      <c r="T32" s="32"/>
      <c r="U32" s="30"/>
      <c r="V32" s="32"/>
      <c r="W32" s="33"/>
      <c r="X32" s="30"/>
      <c r="Y32" s="32"/>
      <c r="Z32" s="30"/>
      <c r="AA32" s="32"/>
      <c r="AB32" s="30"/>
      <c r="AC32" s="31"/>
      <c r="AD32" s="96"/>
      <c r="AE32" s="31"/>
      <c r="AF32" s="96"/>
      <c r="AG32" s="99" t="s">
        <v>828</v>
      </c>
      <c r="AH32" s="100">
        <v>1.78</v>
      </c>
      <c r="AI32" s="30"/>
      <c r="AJ32" s="32"/>
    </row>
    <row r="33" spans="1:36" x14ac:dyDescent="0.35">
      <c r="A33" s="76"/>
      <c r="B33" s="113"/>
      <c r="C33" s="114" t="s">
        <v>693</v>
      </c>
      <c r="D33" s="114"/>
      <c r="E33" s="114"/>
      <c r="F33" s="152">
        <f>IFERROR(SUM(K21*K17),"0.0000")</f>
        <v>0</v>
      </c>
      <c r="G33" s="152"/>
      <c r="H33" s="152"/>
      <c r="I33" s="113"/>
      <c r="J33" s="77"/>
      <c r="K33" s="76"/>
      <c r="L33" s="132"/>
      <c r="M33" s="124" t="s">
        <v>710</v>
      </c>
      <c r="N33" s="77"/>
      <c r="P33" s="30"/>
      <c r="Q33" s="31"/>
      <c r="R33" s="31"/>
      <c r="S33" s="31"/>
      <c r="T33" s="32"/>
      <c r="U33" s="30"/>
      <c r="V33" s="32"/>
      <c r="W33" s="33"/>
      <c r="X33" s="30"/>
      <c r="Y33" s="32"/>
      <c r="Z33" s="30"/>
      <c r="AA33" s="32"/>
      <c r="AB33" s="30"/>
      <c r="AC33" s="31"/>
      <c r="AD33" s="96"/>
      <c r="AE33" s="31"/>
      <c r="AF33" s="96"/>
      <c r="AG33" s="99" t="s">
        <v>829</v>
      </c>
      <c r="AH33" s="100">
        <v>1.79</v>
      </c>
      <c r="AI33" s="30"/>
      <c r="AJ33" s="32"/>
    </row>
    <row r="34" spans="1:36" x14ac:dyDescent="0.35">
      <c r="A34" s="76"/>
      <c r="B34" s="113"/>
      <c r="C34" s="114" t="s">
        <v>694</v>
      </c>
      <c r="D34" s="114"/>
      <c r="E34" s="114"/>
      <c r="F34" s="152">
        <f>(IF(F8="Spirit",Calculations!A4,IF(F8="Wine",Calculations!B4,IF(F8="Refreshment Beverage",Calculations!C4,IF(F8="Beer",Calculations!D4,0)))))</f>
        <v>0</v>
      </c>
      <c r="G34" s="152"/>
      <c r="H34" s="152"/>
      <c r="I34" s="113"/>
      <c r="J34" s="77"/>
      <c r="K34" s="76"/>
      <c r="L34" s="132"/>
      <c r="M34" s="126" t="s">
        <v>869</v>
      </c>
      <c r="N34" s="77"/>
      <c r="P34" s="30"/>
      <c r="Q34" s="31"/>
      <c r="R34" s="31"/>
      <c r="S34" s="31"/>
      <c r="T34" s="32"/>
      <c r="U34" s="30"/>
      <c r="V34" s="32"/>
      <c r="W34" s="33"/>
      <c r="X34" s="30"/>
      <c r="Y34" s="32"/>
      <c r="Z34" s="30"/>
      <c r="AA34" s="32"/>
      <c r="AB34" s="30"/>
      <c r="AC34" s="31"/>
      <c r="AD34" s="96"/>
      <c r="AE34" s="31"/>
      <c r="AF34" s="96"/>
      <c r="AG34" s="99" t="s">
        <v>830</v>
      </c>
      <c r="AH34" s="100">
        <v>1.95</v>
      </c>
      <c r="AI34" s="30"/>
      <c r="AJ34" s="32"/>
    </row>
    <row r="35" spans="1:36" x14ac:dyDescent="0.35">
      <c r="A35" s="76"/>
      <c r="B35" s="113"/>
      <c r="C35" s="114" t="s">
        <v>695</v>
      </c>
      <c r="D35" s="114"/>
      <c r="E35" s="114"/>
      <c r="F35" s="152">
        <f>(IF(F8="Spirit",Calculations!A7,IF(F8="Wine",Calculations!B7,IF(F8="Refreshment Beverage",Calculations!C7,IF(F8="Beer",Calculations!D7,0)))))</f>
        <v>0</v>
      </c>
      <c r="G35" s="152"/>
      <c r="H35" s="152"/>
      <c r="I35" s="113"/>
      <c r="J35" s="77"/>
      <c r="K35" s="75"/>
      <c r="L35" s="132"/>
      <c r="M35" s="126" t="s">
        <v>711</v>
      </c>
      <c r="P35" s="30"/>
      <c r="Q35" s="31"/>
      <c r="R35" s="31"/>
      <c r="S35" s="31"/>
      <c r="T35" s="32"/>
      <c r="U35" s="30"/>
      <c r="V35" s="32"/>
      <c r="W35" s="33"/>
      <c r="X35" s="30"/>
      <c r="Y35" s="32"/>
      <c r="Z35" s="30"/>
      <c r="AA35" s="32"/>
      <c r="AB35" s="30"/>
      <c r="AC35" s="31"/>
      <c r="AD35" s="96"/>
      <c r="AE35" s="31"/>
      <c r="AF35" s="96"/>
      <c r="AG35" s="99" t="s">
        <v>831</v>
      </c>
      <c r="AH35" s="100">
        <v>3.42</v>
      </c>
      <c r="AI35" s="30"/>
      <c r="AJ35" s="32"/>
    </row>
    <row r="36" spans="1:36" x14ac:dyDescent="0.35">
      <c r="A36" s="76"/>
      <c r="B36" s="113"/>
      <c r="C36" s="114"/>
      <c r="D36" s="114"/>
      <c r="E36" s="114"/>
      <c r="F36" s="122"/>
      <c r="G36" s="122"/>
      <c r="H36" s="122"/>
      <c r="I36" s="113"/>
      <c r="J36" s="77"/>
      <c r="K36" s="82" t="s">
        <v>839</v>
      </c>
      <c r="L36" s="132"/>
      <c r="M36" s="126" t="s">
        <v>848</v>
      </c>
      <c r="P36" s="35"/>
      <c r="Q36" s="66"/>
      <c r="R36" s="66"/>
      <c r="S36" s="66"/>
      <c r="T36" s="45"/>
      <c r="U36" s="35"/>
      <c r="V36" s="45"/>
      <c r="W36" s="34"/>
      <c r="X36" s="35"/>
      <c r="Y36" s="45"/>
      <c r="Z36" s="35"/>
      <c r="AA36" s="45"/>
      <c r="AB36" s="35"/>
      <c r="AC36" s="66"/>
      <c r="AD36" s="97"/>
      <c r="AE36" s="66"/>
      <c r="AF36" s="97"/>
      <c r="AG36" s="101" t="s">
        <v>816</v>
      </c>
      <c r="AH36" s="102">
        <v>0</v>
      </c>
      <c r="AI36" s="66"/>
      <c r="AJ36" s="45"/>
    </row>
    <row r="37" spans="1:36" x14ac:dyDescent="0.35">
      <c r="A37" s="76"/>
      <c r="B37" s="113"/>
      <c r="C37" s="114" t="s">
        <v>696</v>
      </c>
      <c r="D37" s="114"/>
      <c r="E37" s="114"/>
      <c r="F37" s="152">
        <f>(IF(F8="Spirit",Calculations!A10,IF(F8="Wine",Calculations!B10,IF(F8="Refreshment Beverage",Calculations!C10,IF(F8="Beer",Calculations!D10,0)))))</f>
        <v>0</v>
      </c>
      <c r="G37" s="152"/>
      <c r="H37" s="152"/>
      <c r="I37" s="113"/>
      <c r="J37" s="77"/>
      <c r="K37" s="135">
        <f>IF(C42="",SUM(F32:H42),SUM(F32:H42))</f>
        <v>0</v>
      </c>
      <c r="L37" s="132"/>
      <c r="M37" s="124" t="s">
        <v>712</v>
      </c>
      <c r="P37" s="83"/>
      <c r="Q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</row>
    <row r="38" spans="1:36" x14ac:dyDescent="0.35">
      <c r="A38" s="76"/>
      <c r="B38" s="113"/>
      <c r="C38" s="114" t="s">
        <v>697</v>
      </c>
      <c r="D38" s="114"/>
      <c r="E38" s="114"/>
      <c r="F38" s="152">
        <f>(IF(F8="Spirit",Calculations!A13,IF(F8="Wine",Calculations!B13,IF(F8="Refreshment Beverage",Calculations!C13,IF(F8="Beer",Calculations!D13,0)))))</f>
        <v>0</v>
      </c>
      <c r="G38" s="152"/>
      <c r="H38" s="152"/>
      <c r="I38" s="113"/>
      <c r="J38" s="77"/>
      <c r="K38" s="75"/>
      <c r="L38" s="132"/>
      <c r="M38" s="126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</row>
    <row r="39" spans="1:36" x14ac:dyDescent="0.35">
      <c r="B39" s="113"/>
      <c r="C39" s="114" t="s">
        <v>832</v>
      </c>
      <c r="D39" s="114"/>
      <c r="E39" s="114"/>
      <c r="F39" s="152">
        <f>(IF(F8="Spirit",Calculations!A16,IF(F8="Wine",Calculations!B16,IF(F8="Refreshment Beverage",Calculations!C16,IF(F8="Beer",Calculations!D16,0)))))</f>
        <v>0</v>
      </c>
      <c r="G39" s="152"/>
      <c r="H39" s="152"/>
      <c r="I39" s="113"/>
      <c r="J39" s="86"/>
      <c r="K39" s="75"/>
      <c r="L39" s="132"/>
      <c r="M39" s="126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</row>
    <row r="40" spans="1:36" x14ac:dyDescent="0.35">
      <c r="A40" s="76"/>
      <c r="B40" s="113"/>
      <c r="C40" s="114" t="s">
        <v>698</v>
      </c>
      <c r="D40" s="114"/>
      <c r="E40" s="114"/>
      <c r="F40" s="152">
        <f>(IF(F8="Spirit",Calculations!A19,IF(F8="Wine",Calculations!B19,IF(F8="Refreshment Beverage",Calculations!C19,IF(F8="Beer",Calculations!D19,0)))))</f>
        <v>0</v>
      </c>
      <c r="G40" s="152"/>
      <c r="H40" s="152"/>
      <c r="I40" s="113"/>
      <c r="J40" s="77"/>
      <c r="K40" s="75"/>
      <c r="L40" s="132"/>
      <c r="M40" s="126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</row>
    <row r="41" spans="1:36" x14ac:dyDescent="0.35">
      <c r="A41" s="76"/>
      <c r="B41" s="113"/>
      <c r="C41" s="114" t="s">
        <v>1012</v>
      </c>
      <c r="D41" s="114"/>
      <c r="E41" s="114"/>
      <c r="F41" s="152" t="str">
        <f>IFERROR(SUM(F14/K16*K14),"0.0000")</f>
        <v>0.0000</v>
      </c>
      <c r="G41" s="152"/>
      <c r="H41" s="152"/>
      <c r="I41" s="113"/>
      <c r="J41" s="77"/>
      <c r="K41" s="75"/>
      <c r="L41" s="132"/>
      <c r="M41" s="126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</row>
    <row r="42" spans="1:36" x14ac:dyDescent="0.35">
      <c r="B42" s="113"/>
      <c r="C42" s="114" t="str">
        <f>IF(F8="Beer","MBLL Dist. Beer Extra Charge","")</f>
        <v/>
      </c>
      <c r="D42" s="114"/>
      <c r="E42" s="114"/>
      <c r="F42" s="152" t="str">
        <f>IF(C42="","",IF(F22="Can",(Calculations!J26/24*F21),IF(F22="Bottle",(Calculations!J28/24*F21),"0.0000")))</f>
        <v/>
      </c>
      <c r="G42" s="152"/>
      <c r="H42" s="152"/>
      <c r="I42" s="113"/>
      <c r="J42" s="75"/>
      <c r="K42" s="75"/>
      <c r="L42" s="132"/>
      <c r="M42" s="126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</row>
    <row r="43" spans="1:36" x14ac:dyDescent="0.35">
      <c r="B43" s="113"/>
      <c r="C43" s="113"/>
      <c r="D43" s="113"/>
      <c r="E43" s="113"/>
      <c r="F43" s="113"/>
      <c r="G43" s="113"/>
      <c r="H43" s="113"/>
      <c r="I43" s="113"/>
      <c r="L43" s="132"/>
      <c r="M43" s="126"/>
      <c r="N43" s="81"/>
      <c r="O43" s="98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</row>
    <row r="44" spans="1:36" x14ac:dyDescent="0.35">
      <c r="B44" s="79"/>
      <c r="C44" s="79"/>
      <c r="D44" s="79"/>
      <c r="E44" s="79"/>
      <c r="F44" s="79"/>
      <c r="G44" s="79"/>
      <c r="H44" s="79"/>
      <c r="I44" s="79"/>
      <c r="L44" s="132"/>
      <c r="M44" s="132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</row>
    <row r="45" spans="1:36" ht="17" x14ac:dyDescent="0.4">
      <c r="B45" s="159" t="s">
        <v>699</v>
      </c>
      <c r="C45" s="159"/>
      <c r="D45" s="159"/>
      <c r="E45" s="159"/>
      <c r="F45" s="159"/>
      <c r="G45" s="155">
        <f>K37</f>
        <v>0</v>
      </c>
      <c r="H45" s="155"/>
      <c r="I45" s="155"/>
      <c r="L45" s="132"/>
      <c r="M45" s="132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</row>
    <row r="46" spans="1:36" x14ac:dyDescent="0.35">
      <c r="B46" s="153" t="s">
        <v>1006</v>
      </c>
      <c r="C46" s="153"/>
      <c r="D46" s="153"/>
      <c r="E46" s="153"/>
      <c r="F46" s="153"/>
      <c r="G46" s="154">
        <f>IFERROR(IF(F8="Spirit",Calculations!G22,IF(F8="Wine",Calculations!H22,IF(F8="Refreshment Beverage",Calculations!I22,IF(F8="Beer",Calculations!J22,0)))),0)</f>
        <v>0</v>
      </c>
      <c r="H46" s="154"/>
      <c r="I46" s="154"/>
      <c r="L46" s="132"/>
      <c r="M46" s="132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</row>
    <row r="47" spans="1:36" x14ac:dyDescent="0.35">
      <c r="B47" s="78"/>
      <c r="C47" s="78"/>
      <c r="D47" s="78"/>
      <c r="E47" s="78"/>
      <c r="F47" s="78"/>
      <c r="G47" s="78"/>
      <c r="H47" s="78"/>
      <c r="I47" s="78"/>
      <c r="L47" s="91"/>
      <c r="M47" s="92"/>
      <c r="N47" s="105" t="s">
        <v>1013</v>
      </c>
      <c r="O47" s="151" t="s">
        <v>1014</v>
      </c>
      <c r="P47" s="75" t="s">
        <v>872</v>
      </c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</row>
    <row r="48" spans="1:36" hidden="1" x14ac:dyDescent="0.35"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</row>
    <row r="49" spans="16:34" hidden="1" x14ac:dyDescent="0.35"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</row>
    <row r="50" spans="16:34" hidden="1" x14ac:dyDescent="0.35"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</row>
    <row r="51" spans="16:34" hidden="1" x14ac:dyDescent="0.35"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</row>
    <row r="52" spans="16:34" hidden="1" x14ac:dyDescent="0.35">
      <c r="R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</row>
    <row r="53" spans="16:34" hidden="1" x14ac:dyDescent="0.35"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</row>
    <row r="54" spans="16:34" hidden="1" x14ac:dyDescent="0.35"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</row>
    <row r="55" spans="16:34" hidden="1" x14ac:dyDescent="0.35"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</row>
    <row r="56" spans="16:34" hidden="1" x14ac:dyDescent="0.35"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</row>
    <row r="57" spans="16:34" hidden="1" x14ac:dyDescent="0.35"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</row>
    <row r="58" spans="16:34" hidden="1" x14ac:dyDescent="0.35"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</row>
    <row r="59" spans="16:34" hidden="1" x14ac:dyDescent="0.35"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</row>
    <row r="60" spans="16:34" hidden="1" x14ac:dyDescent="0.35"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</row>
    <row r="61" spans="16:34" hidden="1" x14ac:dyDescent="0.35"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</row>
    <row r="62" spans="16:34" hidden="1" x14ac:dyDescent="0.35"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</row>
    <row r="63" spans="16:34" hidden="1" x14ac:dyDescent="0.35"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</row>
    <row r="64" spans="16:34" hidden="1" x14ac:dyDescent="0.35"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</row>
    <row r="65" spans="16:34" hidden="1" x14ac:dyDescent="0.35"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</row>
    <row r="66" spans="16:34" hidden="1" x14ac:dyDescent="0.35"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</row>
    <row r="67" spans="16:34" hidden="1" x14ac:dyDescent="0.35"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</row>
    <row r="68" spans="16:34" hidden="1" x14ac:dyDescent="0.35"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</row>
    <row r="69" spans="16:34" hidden="1" x14ac:dyDescent="0.35"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</row>
    <row r="70" spans="16:34" hidden="1" x14ac:dyDescent="0.35"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</row>
    <row r="71" spans="16:34" hidden="1" x14ac:dyDescent="0.35"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</row>
    <row r="72" spans="16:34" hidden="1" x14ac:dyDescent="0.35"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</row>
    <row r="73" spans="16:34" hidden="1" x14ac:dyDescent="0.35"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</row>
    <row r="74" spans="16:34" hidden="1" x14ac:dyDescent="0.35"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</row>
    <row r="75" spans="16:34" hidden="1" x14ac:dyDescent="0.35"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</row>
    <row r="76" spans="16:34" hidden="1" x14ac:dyDescent="0.35"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</row>
    <row r="77" spans="16:34" hidden="1" x14ac:dyDescent="0.35"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</row>
    <row r="78" spans="16:34" hidden="1" x14ac:dyDescent="0.35"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</row>
    <row r="79" spans="16:34" hidden="1" x14ac:dyDescent="0.35"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</row>
    <row r="80" spans="16:34" hidden="1" x14ac:dyDescent="0.35"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</row>
    <row r="81" spans="16:34" hidden="1" x14ac:dyDescent="0.35"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</row>
    <row r="82" spans="16:34" hidden="1" x14ac:dyDescent="0.35"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</row>
    <row r="83" spans="16:34" hidden="1" x14ac:dyDescent="0.35"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</row>
    <row r="84" spans="16:34" hidden="1" x14ac:dyDescent="0.35"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</row>
    <row r="85" spans="16:34" hidden="1" x14ac:dyDescent="0.35"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</row>
    <row r="86" spans="16:34" hidden="1" x14ac:dyDescent="0.35"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</row>
    <row r="87" spans="16:34" hidden="1" x14ac:dyDescent="0.35"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</row>
    <row r="88" spans="16:34" hidden="1" x14ac:dyDescent="0.35"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</row>
    <row r="89" spans="16:34" hidden="1" x14ac:dyDescent="0.35"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</row>
    <row r="90" spans="16:34" hidden="1" x14ac:dyDescent="0.35"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</row>
    <row r="91" spans="16:34" hidden="1" x14ac:dyDescent="0.35"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</row>
    <row r="92" spans="16:34" hidden="1" x14ac:dyDescent="0.35"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</row>
    <row r="93" spans="16:34" hidden="1" x14ac:dyDescent="0.35"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</row>
    <row r="94" spans="16:34" hidden="1" x14ac:dyDescent="0.35"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</row>
    <row r="95" spans="16:34" hidden="1" x14ac:dyDescent="0.35"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</row>
    <row r="96" spans="16:34" hidden="1" x14ac:dyDescent="0.35"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</row>
    <row r="97" spans="16:34" hidden="1" x14ac:dyDescent="0.35"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</row>
    <row r="98" spans="16:34" hidden="1" x14ac:dyDescent="0.35"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</row>
    <row r="99" spans="16:34" hidden="1" x14ac:dyDescent="0.35"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</row>
    <row r="100" spans="16:34" hidden="1" x14ac:dyDescent="0.35"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</row>
    <row r="101" spans="16:34" hidden="1" x14ac:dyDescent="0.35"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</row>
    <row r="102" spans="16:34" hidden="1" x14ac:dyDescent="0.35"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</row>
    <row r="103" spans="16:34" hidden="1" x14ac:dyDescent="0.35"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</row>
    <row r="104" spans="16:34" hidden="1" x14ac:dyDescent="0.35"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</row>
    <row r="105" spans="16:34" hidden="1" x14ac:dyDescent="0.35"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</row>
    <row r="106" spans="16:34" hidden="1" x14ac:dyDescent="0.35"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</row>
    <row r="107" spans="16:34" hidden="1" x14ac:dyDescent="0.35"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</row>
    <row r="108" spans="16:34" hidden="1" x14ac:dyDescent="0.35"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</row>
    <row r="109" spans="16:34" hidden="1" x14ac:dyDescent="0.35"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</row>
    <row r="110" spans="16:34" hidden="1" x14ac:dyDescent="0.35"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</row>
    <row r="111" spans="16:34" hidden="1" x14ac:dyDescent="0.35"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</row>
    <row r="112" spans="16:34" hidden="1" x14ac:dyDescent="0.35"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</row>
    <row r="113" spans="16:34" hidden="1" x14ac:dyDescent="0.35"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</row>
    <row r="114" spans="16:34" hidden="1" x14ac:dyDescent="0.35"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</row>
    <row r="115" spans="16:34" hidden="1" x14ac:dyDescent="0.35"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</row>
    <row r="116" spans="16:34" hidden="1" x14ac:dyDescent="0.35"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</row>
    <row r="117" spans="16:34" hidden="1" x14ac:dyDescent="0.35"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</row>
    <row r="118" spans="16:34" hidden="1" x14ac:dyDescent="0.35"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</row>
    <row r="119" spans="16:34" hidden="1" x14ac:dyDescent="0.35"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</row>
    <row r="120" spans="16:34" hidden="1" x14ac:dyDescent="0.35"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</row>
    <row r="121" spans="16:34" hidden="1" x14ac:dyDescent="0.35"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</row>
    <row r="122" spans="16:34" hidden="1" x14ac:dyDescent="0.35"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</row>
    <row r="123" spans="16:34" hidden="1" x14ac:dyDescent="0.35"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</row>
    <row r="124" spans="16:34" hidden="1" x14ac:dyDescent="0.35"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</row>
    <row r="125" spans="16:34" hidden="1" x14ac:dyDescent="0.35"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</row>
    <row r="126" spans="16:34" hidden="1" x14ac:dyDescent="0.35"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</row>
    <row r="127" spans="16:34" hidden="1" x14ac:dyDescent="0.35"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</row>
    <row r="128" spans="16:34" hidden="1" x14ac:dyDescent="0.35"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</row>
    <row r="129" spans="16:34" hidden="1" x14ac:dyDescent="0.35"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</row>
    <row r="130" spans="16:34" hidden="1" x14ac:dyDescent="0.35"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</row>
    <row r="131" spans="16:34" hidden="1" x14ac:dyDescent="0.35"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</row>
    <row r="132" spans="16:34" hidden="1" x14ac:dyDescent="0.35"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</row>
    <row r="133" spans="16:34" hidden="1" x14ac:dyDescent="0.35"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</row>
    <row r="134" spans="16:34" hidden="1" x14ac:dyDescent="0.35"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</row>
    <row r="135" spans="16:34" hidden="1" x14ac:dyDescent="0.35"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</row>
    <row r="136" spans="16:34" hidden="1" x14ac:dyDescent="0.35"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</row>
    <row r="137" spans="16:34" hidden="1" x14ac:dyDescent="0.35"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</row>
    <row r="138" spans="16:34" hidden="1" x14ac:dyDescent="0.35"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</row>
    <row r="139" spans="16:34" hidden="1" x14ac:dyDescent="0.35"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</row>
    <row r="140" spans="16:34" hidden="1" x14ac:dyDescent="0.35"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</row>
    <row r="141" spans="16:34" hidden="1" x14ac:dyDescent="0.35"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</row>
    <row r="142" spans="16:34" hidden="1" x14ac:dyDescent="0.35"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</row>
    <row r="143" spans="16:34" hidden="1" x14ac:dyDescent="0.35"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</row>
    <row r="144" spans="16:34" hidden="1" x14ac:dyDescent="0.35"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</row>
    <row r="145" spans="16:34" hidden="1" x14ac:dyDescent="0.35"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</row>
    <row r="146" spans="16:34" hidden="1" x14ac:dyDescent="0.35"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</row>
    <row r="147" spans="16:34" hidden="1" x14ac:dyDescent="0.35"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</row>
    <row r="148" spans="16:34" hidden="1" x14ac:dyDescent="0.35"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</row>
    <row r="149" spans="16:34" hidden="1" x14ac:dyDescent="0.35"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</row>
    <row r="150" spans="16:34" hidden="1" x14ac:dyDescent="0.35"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</row>
    <row r="151" spans="16:34" hidden="1" x14ac:dyDescent="0.35"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</row>
    <row r="152" spans="16:34" hidden="1" x14ac:dyDescent="0.35"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</row>
    <row r="153" spans="16:34" hidden="1" x14ac:dyDescent="0.35"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</row>
    <row r="154" spans="16:34" hidden="1" x14ac:dyDescent="0.35"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</row>
    <row r="155" spans="16:34" hidden="1" x14ac:dyDescent="0.35"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</row>
    <row r="156" spans="16:34" hidden="1" x14ac:dyDescent="0.35"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</row>
    <row r="157" spans="16:34" hidden="1" x14ac:dyDescent="0.35"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</row>
    <row r="158" spans="16:34" hidden="1" x14ac:dyDescent="0.35"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</row>
    <row r="159" spans="16:34" hidden="1" x14ac:dyDescent="0.35"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</row>
    <row r="160" spans="16:34" hidden="1" x14ac:dyDescent="0.35"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</row>
    <row r="161" spans="16:34" hidden="1" x14ac:dyDescent="0.35"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</row>
    <row r="162" spans="16:34" hidden="1" x14ac:dyDescent="0.35"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</row>
    <row r="163" spans="16:34" hidden="1" x14ac:dyDescent="0.35"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</row>
    <row r="164" spans="16:34" hidden="1" x14ac:dyDescent="0.35"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</row>
    <row r="165" spans="16:34" hidden="1" x14ac:dyDescent="0.35"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</row>
    <row r="166" spans="16:34" hidden="1" x14ac:dyDescent="0.35"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</row>
    <row r="167" spans="16:34" hidden="1" x14ac:dyDescent="0.35"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</row>
    <row r="168" spans="16:34" hidden="1" x14ac:dyDescent="0.35"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</row>
    <row r="169" spans="16:34" hidden="1" x14ac:dyDescent="0.35"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</row>
    <row r="170" spans="16:34" hidden="1" x14ac:dyDescent="0.35"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</row>
    <row r="171" spans="16:34" hidden="1" x14ac:dyDescent="0.35"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</row>
    <row r="172" spans="16:34" hidden="1" x14ac:dyDescent="0.35"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</row>
    <row r="173" spans="16:34" hidden="1" x14ac:dyDescent="0.35"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</row>
    <row r="174" spans="16:34" hidden="1" x14ac:dyDescent="0.35"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</row>
    <row r="175" spans="16:34" hidden="1" x14ac:dyDescent="0.35"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</row>
    <row r="176" spans="16:34" hidden="1" x14ac:dyDescent="0.35"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</row>
    <row r="177" spans="16:34" hidden="1" x14ac:dyDescent="0.35"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</row>
    <row r="178" spans="16:34" hidden="1" x14ac:dyDescent="0.35"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</row>
    <row r="179" spans="16:34" hidden="1" x14ac:dyDescent="0.35"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</row>
    <row r="180" spans="16:34" hidden="1" x14ac:dyDescent="0.35"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</row>
    <row r="181" spans="16:34" hidden="1" x14ac:dyDescent="0.35"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</row>
    <row r="182" spans="16:34" hidden="1" x14ac:dyDescent="0.35"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</row>
    <row r="183" spans="16:34" hidden="1" x14ac:dyDescent="0.35"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</row>
    <row r="184" spans="16:34" hidden="1" x14ac:dyDescent="0.35"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</row>
    <row r="185" spans="16:34" hidden="1" x14ac:dyDescent="0.35"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</row>
    <row r="186" spans="16:34" hidden="1" x14ac:dyDescent="0.35"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</row>
    <row r="187" spans="16:34" hidden="1" x14ac:dyDescent="0.35"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</row>
    <row r="188" spans="16:34" hidden="1" x14ac:dyDescent="0.35"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</row>
    <row r="189" spans="16:34" hidden="1" x14ac:dyDescent="0.35"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</row>
    <row r="190" spans="16:34" hidden="1" x14ac:dyDescent="0.35"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</row>
    <row r="191" spans="16:34" hidden="1" x14ac:dyDescent="0.35"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</row>
    <row r="192" spans="16:34" hidden="1" x14ac:dyDescent="0.35"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</row>
    <row r="193" spans="16:34" hidden="1" x14ac:dyDescent="0.35"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</row>
    <row r="194" spans="16:34" hidden="1" x14ac:dyDescent="0.35"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</row>
    <row r="195" spans="16:34" hidden="1" x14ac:dyDescent="0.35"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</row>
    <row r="196" spans="16:34" hidden="1" x14ac:dyDescent="0.35"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</row>
    <row r="197" spans="16:34" hidden="1" x14ac:dyDescent="0.35"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</row>
    <row r="198" spans="16:34" hidden="1" x14ac:dyDescent="0.35"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</row>
    <row r="199" spans="16:34" hidden="1" x14ac:dyDescent="0.35"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</row>
    <row r="200" spans="16:34" hidden="1" x14ac:dyDescent="0.35"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</row>
    <row r="201" spans="16:34" hidden="1" x14ac:dyDescent="0.35"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</row>
    <row r="202" spans="16:34" hidden="1" x14ac:dyDescent="0.35"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</row>
    <row r="203" spans="16:34" hidden="1" x14ac:dyDescent="0.35"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</row>
    <row r="204" spans="16:34" hidden="1" x14ac:dyDescent="0.35"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</row>
    <row r="205" spans="16:34" hidden="1" x14ac:dyDescent="0.35"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</row>
    <row r="206" spans="16:34" hidden="1" x14ac:dyDescent="0.35"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</row>
    <row r="207" spans="16:34" hidden="1" x14ac:dyDescent="0.35"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</row>
    <row r="208" spans="16:34" hidden="1" x14ac:dyDescent="0.35"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</row>
    <row r="209" spans="16:34" hidden="1" x14ac:dyDescent="0.35"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</row>
    <row r="210" spans="16:34" hidden="1" x14ac:dyDescent="0.35"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</row>
    <row r="211" spans="16:34" hidden="1" x14ac:dyDescent="0.35"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</row>
    <row r="212" spans="16:34" hidden="1" x14ac:dyDescent="0.35"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</row>
    <row r="213" spans="16:34" hidden="1" x14ac:dyDescent="0.35"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</row>
    <row r="214" spans="16:34" hidden="1" x14ac:dyDescent="0.35"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</row>
    <row r="215" spans="16:34" hidden="1" x14ac:dyDescent="0.35"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</row>
    <row r="216" spans="16:34" hidden="1" x14ac:dyDescent="0.35"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</row>
    <row r="217" spans="16:34" hidden="1" x14ac:dyDescent="0.35"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</row>
    <row r="218" spans="16:34" hidden="1" x14ac:dyDescent="0.35"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</row>
    <row r="219" spans="16:34" hidden="1" x14ac:dyDescent="0.35"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</row>
    <row r="220" spans="16:34" hidden="1" x14ac:dyDescent="0.35"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</row>
    <row r="221" spans="16:34" hidden="1" x14ac:dyDescent="0.35"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</row>
    <row r="222" spans="16:34" hidden="1" x14ac:dyDescent="0.35"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</row>
    <row r="223" spans="16:34" hidden="1" x14ac:dyDescent="0.35"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</row>
    <row r="224" spans="16:34" hidden="1" x14ac:dyDescent="0.35"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</row>
    <row r="225" spans="16:34" hidden="1" x14ac:dyDescent="0.35"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</row>
    <row r="226" spans="16:34" hidden="1" x14ac:dyDescent="0.35"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</row>
    <row r="227" spans="16:34" hidden="1" x14ac:dyDescent="0.35"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</row>
    <row r="228" spans="16:34" hidden="1" x14ac:dyDescent="0.35"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</row>
    <row r="229" spans="16:34" hidden="1" x14ac:dyDescent="0.35"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</row>
    <row r="230" spans="16:34" hidden="1" x14ac:dyDescent="0.35"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</row>
    <row r="231" spans="16:34" hidden="1" x14ac:dyDescent="0.35"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</row>
    <row r="232" spans="16:34" hidden="1" x14ac:dyDescent="0.35"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</row>
    <row r="233" spans="16:34" hidden="1" x14ac:dyDescent="0.35"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</row>
    <row r="234" spans="16:34" hidden="1" x14ac:dyDescent="0.35"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</row>
    <row r="235" spans="16:34" hidden="1" x14ac:dyDescent="0.35"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</row>
    <row r="236" spans="16:34" hidden="1" x14ac:dyDescent="0.35"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</row>
    <row r="237" spans="16:34" hidden="1" x14ac:dyDescent="0.35"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</row>
    <row r="238" spans="16:34" hidden="1" x14ac:dyDescent="0.35"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</row>
    <row r="239" spans="16:34" hidden="1" x14ac:dyDescent="0.35"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</row>
    <row r="240" spans="16:34" hidden="1" x14ac:dyDescent="0.35"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</row>
    <row r="241" spans="16:34" hidden="1" x14ac:dyDescent="0.35"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</row>
    <row r="242" spans="16:34" hidden="1" x14ac:dyDescent="0.35"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</row>
    <row r="243" spans="16:34" hidden="1" x14ac:dyDescent="0.35"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</row>
    <row r="244" spans="16:34" hidden="1" x14ac:dyDescent="0.35"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</row>
    <row r="245" spans="16:34" hidden="1" x14ac:dyDescent="0.35"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</row>
    <row r="246" spans="16:34" hidden="1" x14ac:dyDescent="0.35"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</row>
    <row r="247" spans="16:34" hidden="1" x14ac:dyDescent="0.35"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</row>
    <row r="248" spans="16:34" hidden="1" x14ac:dyDescent="0.35"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</row>
    <row r="249" spans="16:34" hidden="1" x14ac:dyDescent="0.35"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</row>
    <row r="250" spans="16:34" hidden="1" x14ac:dyDescent="0.35"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</row>
    <row r="251" spans="16:34" hidden="1" x14ac:dyDescent="0.35"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</row>
    <row r="252" spans="16:34" hidden="1" x14ac:dyDescent="0.35"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</row>
    <row r="253" spans="16:34" hidden="1" x14ac:dyDescent="0.35"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</row>
    <row r="254" spans="16:34" hidden="1" x14ac:dyDescent="0.35"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</row>
    <row r="255" spans="16:34" hidden="1" x14ac:dyDescent="0.35"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</row>
    <row r="256" spans="16:34" hidden="1" x14ac:dyDescent="0.35"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</row>
    <row r="257" spans="16:34" hidden="1" x14ac:dyDescent="0.35"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</row>
    <row r="258" spans="16:34" hidden="1" x14ac:dyDescent="0.35"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</row>
    <row r="259" spans="16:34" hidden="1" x14ac:dyDescent="0.35">
      <c r="P259" s="70"/>
      <c r="Q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</row>
  </sheetData>
  <sheetProtection algorithmName="SHA-512" hashValue="b7ebZlRMxDDFeMwYBRHaZzm14L5IkR4Gy/73ZXltW2Or1kddZL5c8k/eYK6uPjhXvAfkurK6n9ukODQrwhnwCA==" saltValue="k/P5e33I8SDbHFlYjNOdlQ==" spinCount="100000" sheet="1" objects="1" selectLockedCells="1"/>
  <mergeCells count="58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37:H37"/>
    <mergeCell ref="F17:H17"/>
    <mergeCell ref="F13:H13"/>
    <mergeCell ref="F11:H11"/>
    <mergeCell ref="F10:H10"/>
    <mergeCell ref="F18:H18"/>
    <mergeCell ref="F24:H24"/>
    <mergeCell ref="F23:H23"/>
    <mergeCell ref="F22:H22"/>
    <mergeCell ref="F20:H20"/>
    <mergeCell ref="F19:H19"/>
    <mergeCell ref="F14:H14"/>
    <mergeCell ref="F15:H15"/>
    <mergeCell ref="F21:H21"/>
    <mergeCell ref="F41:H41"/>
    <mergeCell ref="B46:F46"/>
    <mergeCell ref="G46:I46"/>
    <mergeCell ref="G45:I45"/>
    <mergeCell ref="F25:H25"/>
    <mergeCell ref="G26:H26"/>
    <mergeCell ref="F35:H35"/>
    <mergeCell ref="F34:H34"/>
    <mergeCell ref="F33:H33"/>
    <mergeCell ref="F32:H32"/>
    <mergeCell ref="B45:F45"/>
    <mergeCell ref="B30:I30"/>
    <mergeCell ref="F42:H42"/>
    <mergeCell ref="F40:H40"/>
    <mergeCell ref="F39:H39"/>
    <mergeCell ref="F38:H38"/>
  </mergeCells>
  <conditionalFormatting sqref="G46:I46">
    <cfRule type="cellIs" dxfId="9" priority="2" operator="greaterThan">
      <formula>$G$45</formula>
    </cfRule>
  </conditionalFormatting>
  <conditionalFormatting sqref="H36">
    <cfRule type="expression" dxfId="8" priority="1">
      <formula>$C$36=""</formula>
    </cfRule>
  </conditionalFormatting>
  <dataValidations count="11">
    <dataValidation type="list" allowBlank="1" showInputMessage="1" showErrorMessage="1" sqref="G26:H26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20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7:H17" xr:uid="{00000000-0002-0000-0000-000004000000}">
      <formula1>$Z$6:$Z$12</formula1>
    </dataValidation>
    <dataValidation type="list" allowBlank="1" showInputMessage="1" showErrorMessage="1" sqref="F23:H23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22:H22" xr:uid="{00000000-0002-0000-0000-000008000000}">
      <formula1>IF(OR(F8="Refreshment Beverage",F8="Beer"),$W$6:$W$7,"")</formula1>
    </dataValidation>
    <dataValidation type="list" allowBlank="1" showInputMessage="1" showErrorMessage="1" sqref="F25:H25" xr:uid="{00000000-0002-0000-0000-000009000000}">
      <formula1>IF(F23="Canada",$X$6:$X$7,IF(OR(F23="USA",F23="International"),$Y$6,0))</formula1>
    </dataValidation>
    <dataValidation type="list" allowBlank="1" showInputMessage="1" showErrorMessage="1" sqref="F24:H24" xr:uid="{00000000-0002-0000-0000-00000A000000}">
      <formula1>IF($F$23="Canada",$AC$6:$AC$26,IF($F$23="USA",$AE$6:$AE$24,IF($F$23="International",$AG$6:$AG$36,"")))</formula1>
    </dataValidation>
  </dataValidations>
  <pageMargins left="0.7" right="0.7" top="0.75" bottom="0.75" header="0.3" footer="0.3"/>
  <pageSetup scale="92" orientation="portrait" r:id="rId1"/>
  <ignoredErrors>
    <ignoredError sqref="F15 G4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K258"/>
  <sheetViews>
    <sheetView zoomScaleNormal="100" workbookViewId="0"/>
  </sheetViews>
  <sheetFormatPr defaultRowHeight="14.5" x14ac:dyDescent="0.35"/>
  <cols>
    <col min="1" max="4" width="16.81640625" customWidth="1"/>
    <col min="7" max="11" width="14.81640625" bestFit="1" customWidth="1"/>
  </cols>
  <sheetData>
    <row r="2" spans="1:11" x14ac:dyDescent="0.35">
      <c r="A2" s="188" t="s">
        <v>741</v>
      </c>
      <c r="B2" s="189"/>
      <c r="C2" s="189"/>
      <c r="D2" s="190"/>
      <c r="G2" s="188" t="s">
        <v>696</v>
      </c>
      <c r="H2" s="189"/>
      <c r="I2" s="189"/>
      <c r="J2" s="189"/>
      <c r="K2" s="190"/>
    </row>
    <row r="3" spans="1:11" x14ac:dyDescent="0.35">
      <c r="A3" s="46" t="s">
        <v>725</v>
      </c>
      <c r="B3" s="47" t="s">
        <v>678</v>
      </c>
      <c r="C3" s="47" t="s">
        <v>726</v>
      </c>
      <c r="D3" s="48" t="s">
        <v>672</v>
      </c>
      <c r="G3" s="193" t="s">
        <v>725</v>
      </c>
      <c r="H3" s="191" t="s">
        <v>678</v>
      </c>
      <c r="I3" s="191" t="s">
        <v>726</v>
      </c>
      <c r="J3" s="191" t="s">
        <v>727</v>
      </c>
      <c r="K3" s="192" t="s">
        <v>728</v>
      </c>
    </row>
    <row r="4" spans="1:11" x14ac:dyDescent="0.35">
      <c r="A4" s="87">
        <f>IF(OR('Trial Pricing Calculator '!F25="",'Trial Pricing Calculator '!F25="Excise",'Trial Pricing Calculator '!F25="Duty Paid",'Trial Pricing Calculator '!G26="Yes",'Trial Pricing Calculator '!F23="Canada",'Trial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88">
        <f>IF(OR('Trial Pricing Calculator '!F25="",'Trial Pricing Calculator '!F25="Excise",'Trial Pricing Calculator '!F25="Duty Paid",'Trial Pricing Calculator '!F9="Sake",'Trial Pricing Calculator '!G26="Yes",'Trial Pricing Calculator '!F9="Sparkling Wine",'Trial Pricing Calculator '!K17&gt;2,'Trial Pricing Calculator '!K15&gt;19.9),0,IF(AND('Trial Pricing Calculator '!K15&gt;14.9),0,IF(AND('Trial Pricing Calculator '!K15&gt;=7,'Trial Pricing Calculator '!K15&lt;13.8),'Trial Pricing Calculator '!K17*0.0187,IF(AND('Trial Pricing Calculator '!K15&gt;=13.9,'Trial Pricing Calculator '!K15&lt;14.9),'Trial Pricing Calculator '!K17*0.0468,IF('Trial Pricing Calculator '!K15&lt;7,'Trial Pricing Calculator '!K17*0.0187,IF('Trial Pricing Calculator '!K15&lt;15,'Trial Pricing Calculator '!K17*0.0468,0))))))</f>
        <v>0</v>
      </c>
      <c r="C4" s="89">
        <f>IF(OR('Trial Pricing Calculator '!F25="Excise",'Trial Pricing Calculator '!F25="Duty Paid",'Trial Pricing Calculator '!F25="",'Trial Pricing Calculator '!G26="Yes"),0,IF('Trial Pricing Calculator '!F9="Cider",'Trial Pricing Calculator '!K17*0.2816,('Trial Pricing Calculator '!K15*'Trial Pricing Calculator '!K17*0.1228)*0.01))</f>
        <v>0</v>
      </c>
      <c r="D4" s="45">
        <v>0</v>
      </c>
      <c r="G4" s="193"/>
      <c r="H4" s="191"/>
      <c r="I4" s="191"/>
      <c r="J4" s="191"/>
      <c r="K4" s="192"/>
    </row>
    <row r="5" spans="1:11" x14ac:dyDescent="0.35">
      <c r="A5" s="185" t="s">
        <v>740</v>
      </c>
      <c r="B5" s="186"/>
      <c r="C5" s="186"/>
      <c r="D5" s="187"/>
      <c r="G5" s="62" t="b">
        <f>IF((G10&lt;G13),G13,G10)</f>
        <v>0</v>
      </c>
      <c r="H5" s="62" t="b">
        <f>IF((H10&lt;H13),H13,H10)</f>
        <v>0</v>
      </c>
      <c r="I5" s="62">
        <f>IF(AND('Trial Pricing Calculator '!F21=1,I10&gt;I13),I10,IF(AND('Trial Pricing Calculator '!F21=1,I13&gt;I10),I13,IF(AND('Trial Pricing Calculator '!F21&gt;1,I16&gt;I18),I16,IF(AND('Trial Pricing Calculator '!F21&gt;1,I18&gt;I16),I18,0))))</f>
        <v>0</v>
      </c>
      <c r="J5" s="62">
        <f>IF(AND('Trial Pricing Calculator '!F22="Bottle",J13&gt;J10),J13,IF(AND('Trial Pricing Calculator '!F22="Bottle",J10&gt;J13),J10,IF(AND('Trial Pricing Calculator '!F22="Can",J18&gt;J16),J18,IF(AND('Trial Pricing Calculator '!F22="Can",J16&gt;J18),J16,0))))</f>
        <v>0</v>
      </c>
      <c r="K5" s="62">
        <f>IF(AND('Trial Pricing Calculator '!F22="Bottle",K13&gt;K10),K13,IF(AND('Trial Pricing Calculator '!F22="Bottle",K10&gt;K13),K10,IF(AND('Trial Pricing Calculator '!F22="Can",K18&gt;K16),K18,IF(AND('Trial Pricing Calculator '!F22="Can",K16&gt;K18),K16,0))))</f>
        <v>0</v>
      </c>
    </row>
    <row r="6" spans="1:11" x14ac:dyDescent="0.35">
      <c r="A6" s="46" t="s">
        <v>725</v>
      </c>
      <c r="B6" s="47" t="s">
        <v>678</v>
      </c>
      <c r="C6" s="47" t="s">
        <v>726</v>
      </c>
      <c r="D6" s="48" t="s">
        <v>672</v>
      </c>
      <c r="G6" s="30"/>
      <c r="H6" s="31"/>
      <c r="I6" s="31"/>
      <c r="J6" s="31"/>
      <c r="K6" s="32"/>
    </row>
    <row r="7" spans="1:11" x14ac:dyDescent="0.35">
      <c r="A7" s="39">
        <f>IFERROR(IF(OR('Trial Pricing Calculator '!F25="",'Trial Pricing Calculator '!F25="Duty Paid"),0,('Trial Pricing Calculator '!K17*'Trial Pricing Calculator '!K15*'Trial Pricing Calculator '!AJ7)*0.01),"0.0000")</f>
        <v>0</v>
      </c>
      <c r="B7" s="49">
        <f>IFERROR(IF(OR('Trial Pricing Calculator '!F25="",'Trial Pricing Calculator '!F25="Duty Paid"),0,IF('Trial Pricing Calculator '!K15&lt;=7,'Trial Pricing Calculator '!K17*'Trial Pricing Calculator '!AJ10*'Trial Pricing Calculator '!K19,'Trial Pricing Calculator '!K17*'Trial Pricing Calculator '!AJ9)),0)</f>
        <v>0</v>
      </c>
      <c r="C7" s="44">
        <f>IF(OR('Trial Pricing Calculator '!F25="Duty Paid",'Trial Pricing Calculator '!F25=""),0,IF(AND('Trial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'!F25="Customs"),'Trial Pricing Calculator '!K17*'Trial Pricing Calculator '!AJ6,0))))))))</f>
        <v>0</v>
      </c>
      <c r="D7" s="45">
        <f>IFERROR(IF('Trial Pricing Calculator '!F25="Customs",'Trial Pricing Calculator '!K17*'Trial Pricing Calculator '!AJ6,0),"0.0000")</f>
        <v>0</v>
      </c>
      <c r="G7" s="30"/>
      <c r="H7" s="31"/>
      <c r="I7" s="31"/>
      <c r="J7" s="31"/>
      <c r="K7" s="32"/>
    </row>
    <row r="8" spans="1:11" x14ac:dyDescent="0.35">
      <c r="A8" s="185" t="s">
        <v>696</v>
      </c>
      <c r="B8" s="186"/>
      <c r="C8" s="186"/>
      <c r="D8" s="187"/>
      <c r="G8" s="30"/>
      <c r="H8" s="31"/>
      <c r="I8" s="31" t="s">
        <v>762</v>
      </c>
      <c r="J8" s="31" t="s">
        <v>763</v>
      </c>
      <c r="K8" s="32" t="s">
        <v>763</v>
      </c>
    </row>
    <row r="9" spans="1:11" x14ac:dyDescent="0.35">
      <c r="A9" s="67" t="s">
        <v>725</v>
      </c>
      <c r="B9" s="68" t="s">
        <v>678</v>
      </c>
      <c r="C9" s="68" t="s">
        <v>726</v>
      </c>
      <c r="D9" s="69" t="s">
        <v>672</v>
      </c>
      <c r="G9" s="56" t="s">
        <v>770</v>
      </c>
      <c r="H9" s="57" t="s">
        <v>770</v>
      </c>
      <c r="I9" s="57" t="s">
        <v>770</v>
      </c>
      <c r="J9" s="57" t="s">
        <v>770</v>
      </c>
      <c r="K9" s="58" t="s">
        <v>770</v>
      </c>
    </row>
    <row r="10" spans="1:11" x14ac:dyDescent="0.35">
      <c r="A10" s="65" t="b">
        <f>G5</f>
        <v>0</v>
      </c>
      <c r="B10" s="52" t="b">
        <f t="shared" ref="B10:C10" si="0">H5</f>
        <v>0</v>
      </c>
      <c r="C10" s="66">
        <f t="shared" si="0"/>
        <v>0</v>
      </c>
      <c r="D10" s="74">
        <f>IF('Trial Pricing Calculator '!F21&gt;1,K5,J5)</f>
        <v>0</v>
      </c>
      <c r="G10" s="64">
        <f>IFERROR(IF(AND('Trial Pricing Calculator '!F10="Yes",'Trial Pricing Calculator '!F11=1),(SUM('Trial Pricing Calculator '!F32:H36)*0.4),(SUM('Trial Pricing Calculator '!F32:H36)*1.53)),0)</f>
        <v>0</v>
      </c>
      <c r="H10" s="64">
        <f>IFERROR(IF(AND('Trial Pricing Calculator '!F10="Yes",'Trial Pricing Calculator '!F11=1),(SUM('Trial Pricing Calculator '!F32:H35)*0.4),(SUM('Trial Pricing Calculator '!F32:H35)*0.95)),0)</f>
        <v>0</v>
      </c>
      <c r="I10" s="64">
        <f>IFERROR(IF(AND('Trial Pricing Calculator '!F10="Yes",'Trial Pricing Calculator '!F11=1),(SUM('Trial Pricing Calculator '!F32:H35)*0.4),(SUM('Trial Pricing Calculator '!F32:H35)*0.95)),0)</f>
        <v>0</v>
      </c>
      <c r="J10" s="63">
        <f>IF('Trial Pricing Calculator '!F11=1,SUM('Trial Pricing Calculator '!K30*0.36),SUM('Trial Pricing Calculator '!K30*0.75))</f>
        <v>0</v>
      </c>
      <c r="K10" s="64">
        <f>IF('Trial Pricing Calculator '!F11=1,SUM('Trial Pricing Calculator '!K30*0.36),SUM('Trial Pricing Calculator '!K30*0.75))</f>
        <v>0</v>
      </c>
    </row>
    <row r="11" spans="1:11" x14ac:dyDescent="0.35">
      <c r="A11" s="185" t="s">
        <v>10</v>
      </c>
      <c r="B11" s="186"/>
      <c r="C11" s="186"/>
      <c r="D11" s="187"/>
      <c r="G11" s="59"/>
      <c r="H11" s="60"/>
      <c r="I11" s="60"/>
      <c r="J11" s="60"/>
      <c r="K11" s="61"/>
    </row>
    <row r="12" spans="1:11" x14ac:dyDescent="0.35">
      <c r="A12" s="46" t="s">
        <v>725</v>
      </c>
      <c r="B12" s="47" t="s">
        <v>678</v>
      </c>
      <c r="C12" s="47" t="s">
        <v>726</v>
      </c>
      <c r="D12" s="48" t="s">
        <v>672</v>
      </c>
      <c r="G12" s="56" t="s">
        <v>5</v>
      </c>
      <c r="H12" s="57" t="s">
        <v>5</v>
      </c>
      <c r="I12" s="57" t="s">
        <v>5</v>
      </c>
      <c r="J12" s="57" t="s">
        <v>5</v>
      </c>
      <c r="K12" s="58" t="s">
        <v>5</v>
      </c>
    </row>
    <row r="13" spans="1:11" x14ac:dyDescent="0.35">
      <c r="A13" s="39">
        <f>IF(AND('Trial Pricing Calculator '!F10="Yes",'Trial Pricing Calculator '!F11=1),'Trial Pricing Calculator '!K17*0.27,('Trial Pricing Calculator '!K17*1.2568))</f>
        <v>0</v>
      </c>
      <c r="B13" s="49">
        <f>IF(AND('Trial Pricing Calculator '!F10="Yes",'Trial Pricing Calculator '!F11=1),'Trial Pricing Calculator '!K17*0.43,('Trial Pricing Calculator '!K17*1.9458))</f>
        <v>0</v>
      </c>
      <c r="C13" s="44">
        <f>IF(AND('Trial Pricing Calculator '!F10="Yes",'Trial Pricing Calculator '!F11=1),'Trial Pricing Calculator '!K17*0.21,('Trial Pricing Calculator '!K17*0.9517))</f>
        <v>0</v>
      </c>
      <c r="D13" s="50">
        <f>IF(AND('Trial Pricing Calculator '!F10="Yes",'Trial Pricing Calculator '!F11=1),'Trial Pricing Calculator '!K17*0.107,('Trial Pricing Calculator '!K17*0.4673))</f>
        <v>0</v>
      </c>
      <c r="G13" s="64" t="b">
        <f>IFERROR(IF(AND('Trial Pricing Calculator '!F10="Yes",'Trial Pricing Calculator '!F11=1),VLOOKUP('Trial Pricing Calculator '!F11,'Spirit Min. Markup'!L:N,3,0)*'Trial Pricing Calculator '!K17,IF('Trial Pricing Calculator '!F21=1,VLOOKUP('Trial Pricing Calculator '!K17,'Spirit Min. Markup'!B:E,4,0),IF(AND(OR('Trial Pricing Calculator '!F9="Brandy/Cognac",'Trial Pricing Calculator '!F9="Gin",'Trial Pricing Calculator '!F9="Miscellaneous Spirit",'Trial Pricing Calculator '!F9="Rum",'Trial Pricing Calculator '!F9="Tequila",'Trial Pricing Calculator '!F9="Vodka",'Trial Pricing Calculator '!F9="Whisk(e)y"),'Trial Pricing Calculator '!F21&gt;1),VLOOKUP('Trial Pricing Calculator '!K17,'Spirit Min. Markup'!S:U,3,0),IF(AND('Trial Pricing Calculator '!F9="Liqueur",'Trial Pricing Calculator '!F21&gt;1),VLOOKUP('Trial Pricing Calculator '!K17,'Spirit Min. Markup'!AD:AF,3,0))))),0)</f>
        <v>0</v>
      </c>
      <c r="H13" s="64" t="b">
        <f>IFERROR(IF(AND('Trial Pricing Calculator '!F10="Yes",'Trial Pricing Calculator '!F11=1),VLOOKUP('Trial Pricing Calculator '!F11,'Wine Min. Markup'!L:N,3,0)*'Trial Pricing Calculator '!K17,IF('Trial Pricing Calculator '!F21=1,VLOOKUP('Trial Pricing Calculator '!K17,'Wine Min. Markup'!B:E,4,0),IF('Trial Pricing Calculator '!F21&gt;1,VLOOKUP('Trial Pricing Calculator '!K17,'Wine Min. Markup'!S:T,2,0)))),0)</f>
        <v>0</v>
      </c>
      <c r="I13" s="64">
        <f>IFERROR(IF(AND('Trial Pricing Calculator '!F10="Yes",'Trial Pricing Calculator '!F11=1),VLOOKUP('Trial Pricing Calculator '!F11,'Ref. Bev. Min. Markup'!X:Z,3,0)*'Trial Pricing Calculator '!K17,IF('Trial Pricing Calculator '!F21=1,VLOOKUP('Trial Pricing Calculator '!K17,'Ref. Bev. Min. Markup'!B:E,4,0),0)),0)</f>
        <v>0</v>
      </c>
      <c r="J13" s="64">
        <f>IFERROR(IF(AND('Trial Pricing Calculator '!F10="Yes",'Trial Pricing Calculator '!F22="Bottle",'Trial Pricing Calculator '!F11=1),'Trial Pricing Calculator '!K17*VLOOKUP('Trial Pricing Calculator '!F11,'Beer Min. Markup'!BK:BM,3,0),IF(AND('Trial Pricing Calculator '!F22="Bottle",'Trial Pricing Calculator '!F21=1),VLOOKUP('Trial Pricing Calculator '!K17,'Beer Min. Markup'!N:Q,4,0),0)),0)</f>
        <v>0</v>
      </c>
      <c r="K13" s="63">
        <f>IFERROR(IF(AND('Trial Pricing Calculator '!F10="Yes",'Trial Pricing Calculator '!F22="Bottle",'Trial Pricing Calculator '!G21&gt;1,'Trial Pricing Calculator '!F11=1),'Trial Pricing Calculator '!K17*VLOOKUP('Trial Pricing Calculator '!F11,'Beer Min. Markup'!BK:BM,3,0),VLOOKUP('Trial Pricing Calculator '!K17,'Beer Min. Markup'!AN:AP,3,0)),0)</f>
        <v>0</v>
      </c>
    </row>
    <row r="14" spans="1:11" x14ac:dyDescent="0.35">
      <c r="A14" s="185" t="s">
        <v>832</v>
      </c>
      <c r="B14" s="186"/>
      <c r="C14" s="186"/>
      <c r="D14" s="187"/>
      <c r="G14" s="59"/>
      <c r="H14" s="60"/>
      <c r="I14" s="60" t="s">
        <v>222</v>
      </c>
      <c r="J14" s="60" t="s">
        <v>790</v>
      </c>
      <c r="K14" s="61" t="s">
        <v>790</v>
      </c>
    </row>
    <row r="15" spans="1:11" x14ac:dyDescent="0.35">
      <c r="A15" s="46" t="s">
        <v>725</v>
      </c>
      <c r="B15" s="47" t="s">
        <v>678</v>
      </c>
      <c r="C15" s="47" t="s">
        <v>726</v>
      </c>
      <c r="D15" s="48" t="s">
        <v>672</v>
      </c>
      <c r="G15" s="59"/>
      <c r="H15" s="60"/>
      <c r="I15" s="57" t="s">
        <v>770</v>
      </c>
      <c r="J15" s="57" t="s">
        <v>770</v>
      </c>
      <c r="K15" s="58" t="s">
        <v>770</v>
      </c>
    </row>
    <row r="16" spans="1:11" x14ac:dyDescent="0.35">
      <c r="A16" s="39">
        <f>IF('Trial Pricing Calculator '!F23="Canada",0,IF('Trial Pricing Calculator '!F23="USA",IF('Trial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49">
        <f>IF('Trial Pricing Calculator '!F23="Canada",0,IF('Trial Pricing Calculator '!F23="USA",'Trial Pricing Calculator '!K17*0.15,'Trial Pricing Calculator '!K17*0.44))</f>
        <v>0</v>
      </c>
      <c r="C16" s="44">
        <f>IF('Trial Pricing Calculator '!F23="Canada",0,IF('Trial Pricing Calculator '!F23="USA",'Trial Pricing Calculator '!K17*0.22,'Trial Pricing Calculator '!K17*0.41))</f>
        <v>0</v>
      </c>
      <c r="D16" s="50">
        <f>IF('Trial Pricing Calculator '!F23="Canada",0,IF('Trial Pricing Calculator '!F23="USA",'Trial Pricing Calculator '!K17*0.57,'Trial Pricing Calculator '!K17*0.64))</f>
        <v>0</v>
      </c>
      <c r="G16" s="59"/>
      <c r="H16" s="60"/>
      <c r="I16" s="64">
        <f>IFERROR(IF(AND('Trial Pricing Calculator '!F10="Yes",'Trial Pricing Calculator '!F11=1),(SUM('Trial Pricing Calculator '!F32:H35)*0.4),(SUM('Trial Pricing Calculator '!F32:H35)*0.95)),0)</f>
        <v>0</v>
      </c>
      <c r="J16" s="64">
        <f>IF('Trial Pricing Calculator '!F11=1,SUM('Trial Pricing Calculator '!K30*0.36),SUM('Trial Pricing Calculator '!K30*0.75))</f>
        <v>0</v>
      </c>
      <c r="K16" s="64">
        <f>IF('Trial Pricing Calculator '!F11=1,SUM('Trial Pricing Calculator '!K30*0.36),SUM('Trial Pricing Calculator '!K30*0.75))</f>
        <v>0</v>
      </c>
    </row>
    <row r="17" spans="1:11" x14ac:dyDescent="0.35">
      <c r="A17" s="185" t="s">
        <v>833</v>
      </c>
      <c r="B17" s="186"/>
      <c r="C17" s="186"/>
      <c r="D17" s="187"/>
      <c r="G17" s="59"/>
      <c r="H17" s="60"/>
      <c r="I17" s="57" t="s">
        <v>5</v>
      </c>
      <c r="J17" s="57" t="s">
        <v>5</v>
      </c>
      <c r="K17" s="58" t="s">
        <v>5</v>
      </c>
    </row>
    <row r="18" spans="1:11" x14ac:dyDescent="0.35">
      <c r="A18" s="46" t="s">
        <v>725</v>
      </c>
      <c r="B18" s="47" t="s">
        <v>678</v>
      </c>
      <c r="C18" s="47" t="s">
        <v>726</v>
      </c>
      <c r="D18" s="48" t="s">
        <v>672</v>
      </c>
      <c r="G18" s="30"/>
      <c r="H18" s="31"/>
      <c r="I18" s="64">
        <f>IFERROR(IF(AND('Trial Pricing Calculator '!F10="Yes",'Trial Pricing Calculator '!F11=1),VLOOKUP('Trial Pricing Calculator '!F11,'Ref. Bev. Min. Markup'!X:Z,3,0)*'Trial Pricing Calculator '!K17,IF('Trial Pricing Calculator '!F21&gt;1,VLOOKUP('Trial Pricing Calculator '!K17,'Ref. Bev. Min. Markup'!O:Q,3,0),0)),0)</f>
        <v>0</v>
      </c>
      <c r="J18" s="63">
        <f>IFERROR(IF(AND('Trial Pricing Calculator '!F10="Yes",'Trial Pricing Calculator '!F22="Can",'Trial Pricing Calculator '!F21=1,'Trial Pricing Calculator '!F11=1),'Trial Pricing Calculator '!K17*VLOOKUP('Trial Pricing Calculator '!F11,'Beer Min. Markup'!BK:BM,3,0),VLOOKUP('Trial Pricing Calculator '!K17,'Beer Min. Markup'!B:E,4,0)),0)</f>
        <v>0</v>
      </c>
      <c r="K18" s="63">
        <f>IFERROR(IF(AND('Trial Pricing Calculator '!F10="Yes",'Trial Pricing Calculator '!F22="Can",'Trial Pricing Calculator '!G21&gt;1,'Trial Pricing Calculator '!F11=1),'Trial Pricing Calculator '!K17*VLOOKUP('Trial Pricing Calculator '!F11,'Beer Min. Markup'!BK:BM,3,0),VLOOKUP('Trial Pricing Calculator '!K17,'Beer Min. Markup'!BA:BC,3,0)),0)</f>
        <v>0</v>
      </c>
    </row>
    <row r="19" spans="1:11" x14ac:dyDescent="0.35">
      <c r="A19" s="39">
        <f>IF('Trial Pricing Calculator '!F20=0.05,0.2288*'Trial Pricing Calculator '!F21,IF('Trial Pricing Calculator '!F20=0.2,0.3431*'Trial Pricing Calculator '!F21,IF('Trial Pricing Calculator '!F20=0.375,0.4575*'Trial Pricing Calculator '!F21,IF('Trial Pricing Calculator '!F20=1.14,0.286*'Trial Pricing Calculator '!F21,IF('Trial Pricing Calculator '!F20=1.75,0.3431*'Trial Pricing Calculator '!F21,0)))))</f>
        <v>0</v>
      </c>
      <c r="B19" s="52">
        <f>IF('Trial Pricing Calculator '!F20&lt;0.75,0,IF(OR('Trial Pricing Calculator '!F20=0.75,'Trial Pricing Calculator '!K17=1),0.286*'Trial Pricing Calculator '!F21,IF('Trial Pricing Calculator '!F20=1.5,0.6634*'Trial Pricing Calculator '!F21,IF('Trial Pricing Calculator '!F20=2,0.7436*'Trial Pricing Calculator '!F21,IF('Trial Pricing Calculator '!F20=3,0.8008*'Trial Pricing Calculator '!F21,IF(OR('Trial Pricing Calculator '!F20=4,'Trial Pricing Calculator '!F20=5,'Trial Pricing Calculator '!F20=6),1.3384*'Trial Pricing Calculator '!F21,IF(OR('Trial Pricing Calculator '!F20=7,'Trial Pricing Calculator '!F20=8,'Trial Pricing Calculator '!F20=9,'Trial Pricing Calculator '!F20=10),1.7388*'Trial Pricing Calculator '!F21,IF('Trial Pricing Calculator '!F20=19.5,7.9159*'Trial Pricing Calculator '!F21,IF('Trial Pricing Calculator '!F20=15,6.0971*'Trial Pricing Calculator '!F21,IF('Trial Pricing Calculator '!F20=16,6.5089*'Trial Pricing Calculator '!F21,IF('Trial Pricing Calculator '!F20=18,7.321*'Trial Pricing Calculator '!F21,IF('Trial Pricing Calculator '!F20=19,7.7214*'Trial Pricing Calculator '!F21,IF('Trial Pricing Calculator '!F20=20,8.1332*'Trial Pricing Calculator '!F21,IF('Trial Pricing Calculator '!K17=22,8.9455*'Trial Pricing Calculator '!F21,0))))))))))))))</f>
        <v>0</v>
      </c>
      <c r="C19" s="44">
        <f>IF(AND('Trial Pricing Calculator '!F20&gt;0.049,'Trial Pricing Calculator '!F20&lt;0.401),SUM(0.0572*'Trial Pricing Calculator '!F21),IF(AND('Trial Pricing Calculator '!F20&gt;0.4,'Trial Pricing Calculator '!F20&lt;0.47),SUM(0.0687*'Trial Pricing Calculator '!F21),IF(AND('Trial Pricing Calculator '!F20&gt;0.469,'Trial Pricing Calculator '!F20&lt;0.66),SUM(0.0801*'Trial Pricing Calculator '!F21),IF(AND('Trial Pricing Calculator '!F20&gt;0.659,'Trial Pricing Calculator '!F20&lt;0.75),SUM(0.1144*'Trial Pricing Calculator '!F21),IF(AND('Trial Pricing Calculator '!F20&gt;0.749,'Trial Pricing Calculator '!F20&lt;0.9),SUM(0.1258*'Trial Pricing Calculator '!F21),IF(AND('Trial Pricing Calculator '!F20&gt;0.899,'Trial Pricing Calculator '!F20&lt;1),SUM(0.1488*'Trial Pricing Calculator '!F21),IF('Trial Pricing Calculator '!F20=1,SUM(0.1601*'Trial Pricing Calculator '!F21),IF('Trial Pricing Calculator '!F20=1.14,SUM(0.1831*'Trial Pricing Calculator '!F21),IF('Trial Pricing Calculator '!F20=1.75,SUM(0.286*'Trial Pricing Calculator '!F21),IF('Trial Pricing Calculator '!F20=2,SUM(0.3203*'Trial Pricing Calculator '!F21),IF('Trial Pricing Calculator '!F20=3,SUM(0.4805*'Trial Pricing Calculator '!F21),0)))))))))))</f>
        <v>0</v>
      </c>
      <c r="D19" s="51">
        <f>IF(AND('Trial Pricing Calculator '!F21=24,'Trial Pricing Calculator '!F22="Bottle"),0.4104,IF(AND('Trial Pricing Calculator '!F21=8,'Trial Pricing Calculator '!F22="Can"),0.172,IF(AND('Trial Pricing Calculator '!F21=15,'Trial Pricing Calculator '!F22="Can"),0.162,IF(AND('Trial Pricing Calculator '!F21=20,'Trial Pricing Calculator '!F22="Can"),0.228,IF(AND('Trial Pricing Calculator '!F21=30,'Trial Pricing Calculator '!F22="Can"),0.285,IF(AND('Trial Pricing Calculator '!F21=36,'Trial Pricing Calculator '!F22="Can"),0.2844,0))))))</f>
        <v>0</v>
      </c>
      <c r="G19" s="30"/>
      <c r="H19" s="31"/>
      <c r="I19" s="31"/>
      <c r="J19" s="31"/>
      <c r="K19" s="32"/>
    </row>
    <row r="20" spans="1:11" x14ac:dyDescent="0.35">
      <c r="G20" s="30"/>
      <c r="H20" s="31"/>
      <c r="I20" s="31"/>
      <c r="J20" s="31"/>
      <c r="K20" s="32"/>
    </row>
    <row r="21" spans="1:11" x14ac:dyDescent="0.35">
      <c r="G21" s="38" t="s">
        <v>811</v>
      </c>
      <c r="H21" s="37" t="s">
        <v>811</v>
      </c>
      <c r="I21" s="37" t="s">
        <v>811</v>
      </c>
      <c r="J21" s="37" t="s">
        <v>811</v>
      </c>
      <c r="K21" s="40" t="s">
        <v>812</v>
      </c>
    </row>
    <row r="22" spans="1:11" x14ac:dyDescent="0.35">
      <c r="G22" s="63">
        <f>IF(AND('Trial Pricing Calculator '!F8="Spirit",'Trial Pricing Calculator '!K18&lt;100),SUM('Trial Pricing Calculator '!K17*'Trial Pricing Calculator '!F18*SRP!E4),IF(AND('Trial Pricing Calculator '!F8="Spirit",'Trial Pricing Calculator '!K18&gt;=100,'Trial Pricing Calculator '!K18&lt;300),SUM('Trial Pricing Calculator '!K17*'Trial Pricing Calculator '!F18*SRP!E5),IF(AND('Trial Pricing Calculator '!F8="Spirit",'Trial Pricing Calculator '!K18&gt;=300,'Trial Pricing Calculator '!K18&lt;400),SUM('Trial Pricing Calculator '!K17*'Trial Pricing Calculator '!F18*SRP!E6),IF(AND('Trial Pricing Calculator '!F8="Spirit",'Trial Pricing Calculator '!K18&gt;=400,'Trial Pricing Calculator '!K18&lt;=699),SUM('Trial Pricing Calculator '!K17*'Trial Pricing Calculator '!F18*SRP!E7),IF(AND('Trial Pricing Calculator '!F8="Spirit",'Trial Pricing Calculator '!K18&gt;=700),SUM('Trial Pricing Calculator '!K17*'Trial Pricing Calculator '!F18*SRP!E8),0)))))</f>
        <v>0</v>
      </c>
      <c r="H22" s="64">
        <f>IF(AND('Trial Pricing Calculator '!F8="Wine",'Trial Pricing Calculator '!F9="Fortified Wine",'Trial Pricing Calculator '!K18&lt;100),SUM('Trial Pricing Calculator '!K17*'Trial Pricing Calculator '!F18*SRP!E22),IF(AND('Trial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'!K18&gt;=375,'Trial Pricing Calculator '!K18&lt;=699),SUM('Trial Pricing Calculator '!K17*'Trial Pricing Calculator '!F18*SRP!E24),IF(AND('Trial Pricing Calculator '!F8="Wine",'Trial Pricing Calculator '!F9="Fortified Wine",'Trial Pricing Calculator '!K18&gt;=700),SUM('Trial Pricing Calculator '!K17*'Trial Pricing Calculator '!F18*SRP!E25),IF(AND('Trial Pricing Calculator '!F8="Wine",'Trial Pricing Calculator '!K18&lt;100),SUM('Trial Pricing Calculator '!K17*'Trial Pricing Calculator '!F18*SRP!E17),IF(AND('Trial Pricing Calculator '!F8="Wine",'Trial Pricing Calculator '!K18&gt;=100,'Trial Pricing Calculator '!K18&lt;375),SUM('Trial Pricing Calculator '!K17*'Trial Pricing Calculator '!F18*SRP!E18),IF(AND('Trial Pricing Calculator '!F8="Wine",'Trial Pricing Calculator '!K18&gt;=375,'Trial Pricing Calculator '!K18&lt;700),SUM('Trial Pricing Calculator '!K17*'Trial Pricing Calculator '!F18*SRP!E19),IF(AND('Trial Pricing Calculator '!F8="Wine",'Trial Pricing Calculator '!K18&gt;=700,'Trial Pricing Calculator '!K18&lt;=3999),SUM('Trial Pricing Calculator '!K17*'Trial Pricing Calculator '!F18*SRP!E20),IF(AND('Trial Pricing Calculator '!F8="Wine",'Trial Pricing Calculator '!K18&gt;=4000),SUM('Trial Pricing Calculator '!K17*'Trial Pricing Calculator '!F18*SRP!E21),0))))))))))</f>
        <v>0</v>
      </c>
      <c r="I22" s="63">
        <f>IF(AND('Trial Pricing Calculator '!F8="Refreshment Beverage",'Trial Pricing Calculator '!K18&lt;100),SUM('Trial Pricing Calculator '!K17*'Trial Pricing Calculator '!F18*SRP!E12),IF(AND('Trial Pricing Calculator '!F8="Refreshment Beverage",'Trial Pricing Calculator '!K18&gt;=100,'Trial Pricing Calculator '!K18&lt;250),SUM('Trial Pricing Calculator '!K17*'Trial Pricing Calculator '!F18*SRP!E13),IF(AND('Trial Pricing Calculator '!F8="Refreshment Beverage",'Trial Pricing Calculator '!K18&gt;=250,'Trial Pricing Calculator '!K18&lt;400),SUM('Trial Pricing Calculator '!K17*'Trial Pricing Calculator '!F18*SRP!E14),IF(AND('Trial Pricing Calculator '!F8="Refreshment Beverage",'Trial Pricing Calculator '!K18&gt;=400,'Trial Pricing Calculator '!K18&lt;=699),SUM('Trial Pricing Calculator '!K17*'Trial Pricing Calculator '!F18*SRP!E15),IF(AND('Trial Pricing Calculator '!F8="Refreshment Beverage",'Trial Pricing Calculator '!K18&gt;=700),SUM('Trial Pricing Calculator '!K17*'Trial Pricing Calculator '!F18*SRP!E16),0)))))</f>
        <v>0</v>
      </c>
      <c r="J22" s="63">
        <f>IF(AND('Trial Pricing Calculator '!F8="Beer",'Trial Pricing Calculator '!K18&lt;10000),SUM('Trial Pricing Calculator '!K17*'Trial Pricing Calculator '!F18*SRP!E9),IF(AND('Trial Pricing Calculator '!F8="Beer",'Trial Pricing Calculator '!K18&gt;=10000,'Trial Pricing Calculator '!K18&lt;20000),SUM('Trial Pricing Calculator '!K17*'Trial Pricing Calculator '!F18*SRP!E10),IF(AND('Trial Pricing Calculator '!F8="Beer",'Trial Pricing Calculator '!K18&lt;20000),SUM('Trial Pricing Calculator '!K17*'Trial Pricing Calculator '!F18*SRP!E11),0)))</f>
        <v>0</v>
      </c>
      <c r="K22" s="63">
        <f>IF('Trial Pricing Calculator '!K15&gt;5.5,SUM('Trial Pricing Calculator '!K17*('Trial Pricing Calculator '!K15/100)*66.085),0)</f>
        <v>0</v>
      </c>
    </row>
    <row r="23" spans="1:11" x14ac:dyDescent="0.35">
      <c r="G23" s="54"/>
      <c r="H23" s="31"/>
      <c r="I23" s="53"/>
      <c r="J23" s="31"/>
      <c r="K23" s="55"/>
    </row>
    <row r="24" spans="1:11" x14ac:dyDescent="0.35">
      <c r="G24" s="30"/>
      <c r="H24" s="31"/>
      <c r="I24" s="31"/>
      <c r="J24" s="37" t="s">
        <v>820</v>
      </c>
      <c r="K24" s="58" t="s">
        <v>821</v>
      </c>
    </row>
    <row r="25" spans="1:11" x14ac:dyDescent="0.35">
      <c r="G25" s="30"/>
      <c r="H25" s="31"/>
      <c r="I25" s="31"/>
      <c r="J25" s="41" t="s">
        <v>404</v>
      </c>
      <c r="K25" s="63">
        <f>IF('Trial Pricing Calculator '!F11=1,10,IF('Trial Pricing Calculator '!F11=2,15,IF('Trial Pricing Calculator '!F11=3,24,IF('Trial Pricing Calculator '!F11=4,36,49))))</f>
        <v>49</v>
      </c>
    </row>
    <row r="26" spans="1:11" x14ac:dyDescent="0.35">
      <c r="G26" s="30"/>
      <c r="H26" s="31"/>
      <c r="I26" s="31"/>
      <c r="J26" s="42">
        <v>1.1000000000000001</v>
      </c>
      <c r="K26" s="32"/>
    </row>
    <row r="27" spans="1:11" x14ac:dyDescent="0.35">
      <c r="G27" s="30"/>
      <c r="H27" s="31"/>
      <c r="I27" s="31"/>
      <c r="J27" s="43" t="s">
        <v>407</v>
      </c>
      <c r="K27" s="32"/>
    </row>
    <row r="28" spans="1:11" x14ac:dyDescent="0.35">
      <c r="G28" s="30"/>
      <c r="H28" s="31"/>
      <c r="I28" s="31"/>
      <c r="J28" s="42">
        <v>1.68</v>
      </c>
      <c r="K28" s="32"/>
    </row>
    <row r="29" spans="1:11" x14ac:dyDescent="0.35">
      <c r="G29" s="30"/>
      <c r="H29" s="31"/>
      <c r="I29" s="31"/>
      <c r="J29" s="31"/>
      <c r="K29" s="32"/>
    </row>
    <row r="30" spans="1:11" x14ac:dyDescent="0.35">
      <c r="G30" s="30"/>
      <c r="H30" s="31"/>
      <c r="I30" s="31"/>
      <c r="J30" s="31"/>
      <c r="K30" s="32"/>
    </row>
    <row r="31" spans="1:11" x14ac:dyDescent="0.35">
      <c r="G31" s="30"/>
      <c r="H31" s="31"/>
      <c r="I31" s="31"/>
      <c r="J31" s="31"/>
      <c r="K31" s="32"/>
    </row>
    <row r="32" spans="1:11" x14ac:dyDescent="0.35">
      <c r="G32" s="30"/>
      <c r="H32" s="31"/>
      <c r="I32" s="31"/>
      <c r="J32" s="31"/>
      <c r="K32" s="32"/>
    </row>
    <row r="33" spans="7:11" x14ac:dyDescent="0.35">
      <c r="G33" s="30"/>
      <c r="H33" s="31"/>
      <c r="I33" s="31"/>
      <c r="J33" s="31"/>
      <c r="K33" s="32"/>
    </row>
    <row r="34" spans="7:11" x14ac:dyDescent="0.35">
      <c r="G34" s="30"/>
      <c r="H34" s="31"/>
      <c r="I34" s="31"/>
      <c r="J34" s="31"/>
      <c r="K34" s="32"/>
    </row>
    <row r="35" spans="7:11" x14ac:dyDescent="0.35">
      <c r="G35" s="35"/>
      <c r="H35" s="44"/>
      <c r="I35" s="44"/>
      <c r="J35" s="44"/>
      <c r="K35" s="45"/>
    </row>
    <row r="36" spans="7:11" x14ac:dyDescent="0.35">
      <c r="G36" s="36"/>
      <c r="H36" s="36"/>
      <c r="I36" s="36"/>
      <c r="J36" s="36"/>
      <c r="K36" s="36"/>
    </row>
    <row r="37" spans="7:11" x14ac:dyDescent="0.35">
      <c r="G37" s="36"/>
      <c r="H37" s="36"/>
      <c r="I37" s="36"/>
      <c r="J37" s="36"/>
      <c r="K37" s="36"/>
    </row>
    <row r="38" spans="7:11" x14ac:dyDescent="0.35">
      <c r="G38" s="36"/>
      <c r="H38" s="36"/>
      <c r="I38" s="36"/>
      <c r="J38" s="36"/>
      <c r="K38" s="36"/>
    </row>
    <row r="39" spans="7:11" x14ac:dyDescent="0.35">
      <c r="G39" s="36"/>
      <c r="H39" s="36"/>
      <c r="I39" s="36"/>
      <c r="J39" s="36"/>
      <c r="K39" s="36"/>
    </row>
    <row r="40" spans="7:11" x14ac:dyDescent="0.35">
      <c r="G40" s="36"/>
      <c r="H40" s="36"/>
      <c r="I40" s="36"/>
      <c r="J40" s="36"/>
      <c r="K40" s="36"/>
    </row>
    <row r="41" spans="7:11" x14ac:dyDescent="0.35">
      <c r="G41" s="36"/>
      <c r="H41" s="36"/>
      <c r="I41" s="36"/>
      <c r="J41" s="36"/>
      <c r="K41" s="36"/>
    </row>
    <row r="42" spans="7:11" x14ac:dyDescent="0.35">
      <c r="G42" s="36"/>
      <c r="H42" s="36"/>
      <c r="I42" s="36"/>
      <c r="J42" s="36"/>
      <c r="K42" s="36"/>
    </row>
    <row r="43" spans="7:11" x14ac:dyDescent="0.35">
      <c r="G43" s="36"/>
      <c r="H43" s="36"/>
      <c r="I43" s="36"/>
      <c r="J43" s="36"/>
      <c r="K43" s="36"/>
    </row>
    <row r="44" spans="7:11" x14ac:dyDescent="0.35">
      <c r="G44" s="36"/>
      <c r="H44" s="36"/>
      <c r="I44" s="36"/>
      <c r="J44" s="36"/>
      <c r="K44" s="36"/>
    </row>
    <row r="45" spans="7:11" x14ac:dyDescent="0.35">
      <c r="G45" s="36"/>
      <c r="H45" s="36"/>
      <c r="I45" s="36"/>
      <c r="J45" s="36"/>
      <c r="K45" s="36"/>
    </row>
    <row r="46" spans="7:11" x14ac:dyDescent="0.35">
      <c r="G46" s="36"/>
      <c r="H46" s="36"/>
      <c r="I46" s="36"/>
      <c r="J46" s="36"/>
      <c r="K46" s="36"/>
    </row>
    <row r="47" spans="7:11" x14ac:dyDescent="0.35">
      <c r="G47" s="36"/>
      <c r="H47" s="36"/>
      <c r="I47" s="36"/>
      <c r="J47" s="36"/>
      <c r="K47" s="36"/>
    </row>
    <row r="48" spans="7:11" x14ac:dyDescent="0.35">
      <c r="G48" s="36"/>
      <c r="H48" s="36"/>
      <c r="I48" s="36"/>
      <c r="J48" s="36"/>
      <c r="K48" s="36"/>
    </row>
    <row r="49" spans="7:11" x14ac:dyDescent="0.35">
      <c r="G49" s="36"/>
      <c r="H49" s="36"/>
      <c r="I49" s="36"/>
      <c r="J49" s="36"/>
      <c r="K49" s="36"/>
    </row>
    <row r="50" spans="7:11" x14ac:dyDescent="0.35">
      <c r="G50" s="36"/>
      <c r="H50" s="36"/>
      <c r="I50" s="36"/>
      <c r="J50" s="36"/>
      <c r="K50" s="36"/>
    </row>
    <row r="51" spans="7:11" x14ac:dyDescent="0.35">
      <c r="G51" s="36"/>
      <c r="H51" s="36"/>
      <c r="I51" s="36"/>
      <c r="J51" s="36"/>
      <c r="K51" s="36"/>
    </row>
    <row r="52" spans="7:11" x14ac:dyDescent="0.35">
      <c r="G52" s="36"/>
      <c r="H52" s="36"/>
      <c r="I52" s="36"/>
      <c r="J52" s="36"/>
      <c r="K52" s="36"/>
    </row>
    <row r="53" spans="7:11" x14ac:dyDescent="0.35">
      <c r="G53" s="36"/>
      <c r="H53" s="36"/>
      <c r="I53" s="36"/>
      <c r="J53" s="36"/>
      <c r="K53" s="36"/>
    </row>
    <row r="54" spans="7:11" x14ac:dyDescent="0.35">
      <c r="G54" s="36"/>
      <c r="H54" s="36"/>
      <c r="I54" s="36"/>
      <c r="J54" s="36"/>
      <c r="K54" s="36"/>
    </row>
    <row r="55" spans="7:11" x14ac:dyDescent="0.35">
      <c r="G55" s="36"/>
      <c r="H55" s="36"/>
      <c r="I55" s="36"/>
      <c r="J55" s="36"/>
      <c r="K55" s="36"/>
    </row>
    <row r="56" spans="7:11" x14ac:dyDescent="0.35">
      <c r="G56" s="36"/>
      <c r="H56" s="36"/>
      <c r="I56" s="36"/>
      <c r="J56" s="36"/>
      <c r="K56" s="36"/>
    </row>
    <row r="57" spans="7:11" x14ac:dyDescent="0.35">
      <c r="G57" s="36"/>
      <c r="H57" s="36"/>
      <c r="I57" s="36"/>
      <c r="J57" s="36"/>
      <c r="K57" s="36"/>
    </row>
    <row r="58" spans="7:11" x14ac:dyDescent="0.35">
      <c r="G58" s="36"/>
      <c r="H58" s="36"/>
      <c r="I58" s="36"/>
      <c r="J58" s="36"/>
      <c r="K58" s="36"/>
    </row>
    <row r="59" spans="7:11" x14ac:dyDescent="0.35">
      <c r="G59" s="36"/>
      <c r="H59" s="36"/>
      <c r="I59" s="36"/>
      <c r="J59" s="36"/>
      <c r="K59" s="36"/>
    </row>
    <row r="60" spans="7:11" x14ac:dyDescent="0.35">
      <c r="G60" s="36"/>
      <c r="H60" s="36"/>
      <c r="I60" s="36"/>
      <c r="J60" s="36"/>
      <c r="K60" s="36"/>
    </row>
    <row r="61" spans="7:11" x14ac:dyDescent="0.35">
      <c r="G61" s="36"/>
      <c r="H61" s="36"/>
      <c r="I61" s="36"/>
      <c r="J61" s="36"/>
      <c r="K61" s="36"/>
    </row>
    <row r="62" spans="7:11" x14ac:dyDescent="0.35">
      <c r="G62" s="36"/>
      <c r="H62" s="36"/>
      <c r="I62" s="36"/>
      <c r="J62" s="36"/>
      <c r="K62" s="36"/>
    </row>
    <row r="63" spans="7:11" x14ac:dyDescent="0.35">
      <c r="G63" s="36"/>
      <c r="H63" s="36"/>
      <c r="I63" s="36"/>
      <c r="J63" s="36"/>
      <c r="K63" s="36"/>
    </row>
    <row r="64" spans="7:11" x14ac:dyDescent="0.35">
      <c r="G64" s="36"/>
      <c r="H64" s="36"/>
      <c r="I64" s="36"/>
      <c r="J64" s="36"/>
      <c r="K64" s="36"/>
    </row>
    <row r="65" spans="7:11" x14ac:dyDescent="0.35">
      <c r="G65" s="36"/>
      <c r="H65" s="36"/>
      <c r="I65" s="36"/>
      <c r="J65" s="36"/>
      <c r="K65" s="36"/>
    </row>
    <row r="66" spans="7:11" x14ac:dyDescent="0.35">
      <c r="G66" s="36"/>
      <c r="H66" s="36"/>
      <c r="I66" s="36"/>
      <c r="J66" s="36"/>
      <c r="K66" s="36"/>
    </row>
    <row r="67" spans="7:11" x14ac:dyDescent="0.35">
      <c r="G67" s="36"/>
      <c r="H67" s="36"/>
      <c r="I67" s="36"/>
      <c r="J67" s="36"/>
      <c r="K67" s="36"/>
    </row>
    <row r="68" spans="7:11" x14ac:dyDescent="0.35">
      <c r="G68" s="36"/>
      <c r="H68" s="36"/>
      <c r="I68" s="36"/>
      <c r="J68" s="36"/>
      <c r="K68" s="36"/>
    </row>
    <row r="69" spans="7:11" x14ac:dyDescent="0.35">
      <c r="G69" s="36"/>
      <c r="H69" s="36"/>
      <c r="I69" s="36"/>
      <c r="J69" s="36"/>
      <c r="K69" s="36"/>
    </row>
    <row r="70" spans="7:11" x14ac:dyDescent="0.35">
      <c r="G70" s="36"/>
      <c r="H70" s="36"/>
      <c r="I70" s="36"/>
      <c r="J70" s="36"/>
      <c r="K70" s="36"/>
    </row>
    <row r="71" spans="7:11" x14ac:dyDescent="0.35">
      <c r="G71" s="36"/>
      <c r="H71" s="36"/>
      <c r="I71" s="36"/>
      <c r="J71" s="36"/>
      <c r="K71" s="36"/>
    </row>
    <row r="72" spans="7:11" x14ac:dyDescent="0.35">
      <c r="G72" s="36"/>
      <c r="H72" s="36"/>
      <c r="I72" s="36"/>
      <c r="J72" s="36"/>
      <c r="K72" s="36"/>
    </row>
    <row r="73" spans="7:11" x14ac:dyDescent="0.35">
      <c r="G73" s="36"/>
      <c r="H73" s="36"/>
      <c r="I73" s="36"/>
      <c r="J73" s="36"/>
      <c r="K73" s="36"/>
    </row>
    <row r="74" spans="7:11" x14ac:dyDescent="0.35">
      <c r="G74" s="36"/>
      <c r="H74" s="36"/>
      <c r="I74" s="36"/>
      <c r="J74" s="36"/>
      <c r="K74" s="36"/>
    </row>
    <row r="75" spans="7:11" x14ac:dyDescent="0.35">
      <c r="G75" s="36"/>
      <c r="H75" s="36"/>
      <c r="I75" s="36"/>
      <c r="J75" s="36"/>
      <c r="K75" s="36"/>
    </row>
    <row r="76" spans="7:11" x14ac:dyDescent="0.35">
      <c r="G76" s="36"/>
      <c r="H76" s="36"/>
      <c r="I76" s="36"/>
      <c r="J76" s="36"/>
      <c r="K76" s="36"/>
    </row>
    <row r="77" spans="7:11" x14ac:dyDescent="0.35">
      <c r="G77" s="36"/>
      <c r="H77" s="36"/>
      <c r="I77" s="36"/>
      <c r="J77" s="36"/>
      <c r="K77" s="36"/>
    </row>
    <row r="78" spans="7:11" x14ac:dyDescent="0.35">
      <c r="G78" s="36"/>
      <c r="H78" s="36"/>
      <c r="I78" s="36"/>
      <c r="J78" s="36"/>
      <c r="K78" s="36"/>
    </row>
    <row r="79" spans="7:11" x14ac:dyDescent="0.35">
      <c r="G79" s="36"/>
      <c r="H79" s="36"/>
      <c r="I79" s="36"/>
      <c r="J79" s="36"/>
      <c r="K79" s="36"/>
    </row>
    <row r="80" spans="7:11" x14ac:dyDescent="0.35">
      <c r="G80" s="36"/>
      <c r="H80" s="36"/>
      <c r="I80" s="36"/>
      <c r="J80" s="36"/>
      <c r="K80" s="36"/>
    </row>
    <row r="81" spans="7:11" x14ac:dyDescent="0.35">
      <c r="G81" s="36"/>
      <c r="H81" s="36"/>
      <c r="I81" s="36"/>
      <c r="J81" s="36"/>
      <c r="K81" s="36"/>
    </row>
    <row r="82" spans="7:11" x14ac:dyDescent="0.35">
      <c r="G82" s="36"/>
      <c r="H82" s="36"/>
      <c r="I82" s="36"/>
      <c r="J82" s="36"/>
      <c r="K82" s="36"/>
    </row>
    <row r="83" spans="7:11" x14ac:dyDescent="0.35">
      <c r="G83" s="36"/>
      <c r="H83" s="36"/>
      <c r="I83" s="36"/>
      <c r="J83" s="36"/>
      <c r="K83" s="36"/>
    </row>
    <row r="84" spans="7:11" x14ac:dyDescent="0.35">
      <c r="G84" s="36"/>
      <c r="H84" s="36"/>
      <c r="I84" s="36"/>
      <c r="J84" s="36"/>
      <c r="K84" s="36"/>
    </row>
    <row r="85" spans="7:11" x14ac:dyDescent="0.35">
      <c r="G85" s="36"/>
      <c r="H85" s="36"/>
      <c r="I85" s="36"/>
      <c r="J85" s="36"/>
      <c r="K85" s="36"/>
    </row>
    <row r="86" spans="7:11" x14ac:dyDescent="0.35">
      <c r="G86" s="36"/>
      <c r="H86" s="36"/>
      <c r="I86" s="36"/>
      <c r="J86" s="36"/>
      <c r="K86" s="36"/>
    </row>
    <row r="87" spans="7:11" x14ac:dyDescent="0.35">
      <c r="G87" s="36"/>
      <c r="H87" s="36"/>
      <c r="I87" s="36"/>
      <c r="J87" s="36"/>
      <c r="K87" s="36"/>
    </row>
    <row r="88" spans="7:11" x14ac:dyDescent="0.35">
      <c r="G88" s="36"/>
      <c r="H88" s="36"/>
      <c r="I88" s="36"/>
      <c r="J88" s="36"/>
      <c r="K88" s="36"/>
    </row>
    <row r="89" spans="7:11" x14ac:dyDescent="0.35">
      <c r="G89" s="36"/>
      <c r="H89" s="36"/>
      <c r="I89" s="36"/>
      <c r="J89" s="36"/>
      <c r="K89" s="36"/>
    </row>
    <row r="90" spans="7:11" x14ac:dyDescent="0.35">
      <c r="G90" s="36"/>
      <c r="H90" s="36"/>
      <c r="I90" s="36"/>
      <c r="J90" s="36"/>
      <c r="K90" s="36"/>
    </row>
    <row r="91" spans="7:11" x14ac:dyDescent="0.35">
      <c r="G91" s="36"/>
      <c r="H91" s="36"/>
      <c r="I91" s="36"/>
      <c r="J91" s="36"/>
      <c r="K91" s="36"/>
    </row>
    <row r="92" spans="7:11" x14ac:dyDescent="0.35">
      <c r="G92" s="36"/>
      <c r="H92" s="36"/>
      <c r="I92" s="36"/>
      <c r="J92" s="36"/>
      <c r="K92" s="36"/>
    </row>
    <row r="93" spans="7:11" x14ac:dyDescent="0.35">
      <c r="G93" s="36"/>
      <c r="H93" s="36"/>
      <c r="I93" s="36"/>
      <c r="J93" s="36"/>
      <c r="K93" s="36"/>
    </row>
    <row r="94" spans="7:11" x14ac:dyDescent="0.35">
      <c r="G94" s="36"/>
      <c r="H94" s="36"/>
      <c r="I94" s="36"/>
      <c r="J94" s="36"/>
      <c r="K94" s="36"/>
    </row>
    <row r="95" spans="7:11" x14ac:dyDescent="0.35">
      <c r="G95" s="36"/>
      <c r="H95" s="36"/>
      <c r="I95" s="36"/>
      <c r="J95" s="36"/>
      <c r="K95" s="36"/>
    </row>
    <row r="96" spans="7:11" x14ac:dyDescent="0.35">
      <c r="G96" s="36"/>
      <c r="H96" s="36"/>
      <c r="I96" s="36"/>
      <c r="J96" s="36"/>
      <c r="K96" s="36"/>
    </row>
    <row r="97" spans="7:11" x14ac:dyDescent="0.35">
      <c r="G97" s="36"/>
      <c r="H97" s="36"/>
      <c r="I97" s="36"/>
      <c r="J97" s="36"/>
      <c r="K97" s="36"/>
    </row>
    <row r="98" spans="7:11" x14ac:dyDescent="0.35">
      <c r="G98" s="36"/>
      <c r="H98" s="36"/>
      <c r="I98" s="36"/>
      <c r="J98" s="36"/>
      <c r="K98" s="36"/>
    </row>
    <row r="99" spans="7:11" x14ac:dyDescent="0.35">
      <c r="G99" s="36"/>
      <c r="H99" s="36"/>
      <c r="I99" s="36"/>
      <c r="J99" s="36"/>
      <c r="K99" s="36"/>
    </row>
    <row r="100" spans="7:11" x14ac:dyDescent="0.35">
      <c r="G100" s="36"/>
      <c r="H100" s="36"/>
      <c r="I100" s="36"/>
      <c r="J100" s="36"/>
      <c r="K100" s="36"/>
    </row>
    <row r="101" spans="7:11" x14ac:dyDescent="0.35">
      <c r="G101" s="36"/>
      <c r="H101" s="36"/>
      <c r="I101" s="36"/>
      <c r="J101" s="36"/>
      <c r="K101" s="36"/>
    </row>
    <row r="102" spans="7:11" x14ac:dyDescent="0.35">
      <c r="G102" s="36"/>
      <c r="H102" s="36"/>
      <c r="I102" s="36"/>
      <c r="J102" s="36"/>
      <c r="K102" s="36"/>
    </row>
    <row r="103" spans="7:11" x14ac:dyDescent="0.35">
      <c r="G103" s="36"/>
      <c r="H103" s="36"/>
      <c r="I103" s="36"/>
      <c r="J103" s="36"/>
      <c r="K103" s="36"/>
    </row>
    <row r="104" spans="7:11" x14ac:dyDescent="0.35">
      <c r="G104" s="36"/>
      <c r="H104" s="36"/>
      <c r="I104" s="36"/>
      <c r="J104" s="36"/>
      <c r="K104" s="36"/>
    </row>
    <row r="105" spans="7:11" x14ac:dyDescent="0.35">
      <c r="G105" s="36"/>
      <c r="H105" s="36"/>
      <c r="I105" s="36"/>
      <c r="J105" s="36"/>
      <c r="K105" s="36"/>
    </row>
    <row r="106" spans="7:11" x14ac:dyDescent="0.35">
      <c r="G106" s="36"/>
      <c r="H106" s="36"/>
      <c r="I106" s="36"/>
      <c r="J106" s="36"/>
      <c r="K106" s="36"/>
    </row>
    <row r="107" spans="7:11" x14ac:dyDescent="0.35">
      <c r="G107" s="36"/>
      <c r="H107" s="36"/>
      <c r="I107" s="36"/>
      <c r="J107" s="36"/>
      <c r="K107" s="36"/>
    </row>
    <row r="108" spans="7:11" x14ac:dyDescent="0.35">
      <c r="G108" s="36"/>
      <c r="H108" s="36"/>
      <c r="I108" s="36"/>
      <c r="J108" s="36"/>
      <c r="K108" s="36"/>
    </row>
    <row r="109" spans="7:11" x14ac:dyDescent="0.35">
      <c r="G109" s="36"/>
      <c r="H109" s="36"/>
      <c r="I109" s="36"/>
      <c r="J109" s="36"/>
      <c r="K109" s="36"/>
    </row>
    <row r="110" spans="7:11" x14ac:dyDescent="0.35">
      <c r="G110" s="36"/>
      <c r="H110" s="36"/>
      <c r="I110" s="36"/>
      <c r="J110" s="36"/>
      <c r="K110" s="36"/>
    </row>
    <row r="111" spans="7:11" x14ac:dyDescent="0.35">
      <c r="G111" s="36"/>
      <c r="H111" s="36"/>
      <c r="I111" s="36"/>
      <c r="J111" s="36"/>
      <c r="K111" s="36"/>
    </row>
    <row r="112" spans="7:11" x14ac:dyDescent="0.35">
      <c r="G112" s="36"/>
      <c r="H112" s="36"/>
      <c r="I112" s="36"/>
      <c r="J112" s="36"/>
      <c r="K112" s="36"/>
    </row>
    <row r="113" spans="7:11" x14ac:dyDescent="0.35">
      <c r="G113" s="36"/>
      <c r="H113" s="36"/>
      <c r="I113" s="36"/>
      <c r="J113" s="36"/>
      <c r="K113" s="36"/>
    </row>
    <row r="114" spans="7:11" x14ac:dyDescent="0.35">
      <c r="G114" s="36"/>
      <c r="H114" s="36"/>
      <c r="I114" s="36"/>
      <c r="J114" s="36"/>
      <c r="K114" s="36"/>
    </row>
    <row r="115" spans="7:11" x14ac:dyDescent="0.35">
      <c r="G115" s="36"/>
      <c r="H115" s="36"/>
      <c r="I115" s="36"/>
      <c r="J115" s="36"/>
      <c r="K115" s="36"/>
    </row>
    <row r="116" spans="7:11" x14ac:dyDescent="0.35">
      <c r="G116" s="36"/>
      <c r="H116" s="36"/>
      <c r="I116" s="36"/>
      <c r="J116" s="36"/>
      <c r="K116" s="36"/>
    </row>
    <row r="117" spans="7:11" x14ac:dyDescent="0.35">
      <c r="G117" s="36"/>
      <c r="H117" s="36"/>
      <c r="I117" s="36"/>
      <c r="J117" s="36"/>
      <c r="K117" s="36"/>
    </row>
    <row r="118" spans="7:11" x14ac:dyDescent="0.35">
      <c r="G118" s="36"/>
      <c r="H118" s="36"/>
      <c r="I118" s="36"/>
      <c r="J118" s="36"/>
      <c r="K118" s="36"/>
    </row>
    <row r="119" spans="7:11" x14ac:dyDescent="0.35">
      <c r="G119" s="36"/>
      <c r="H119" s="36"/>
      <c r="I119" s="36"/>
      <c r="J119" s="36"/>
      <c r="K119" s="36"/>
    </row>
    <row r="120" spans="7:11" x14ac:dyDescent="0.35">
      <c r="G120" s="36"/>
      <c r="H120" s="36"/>
      <c r="I120" s="36"/>
      <c r="J120" s="36"/>
      <c r="K120" s="36"/>
    </row>
    <row r="121" spans="7:11" x14ac:dyDescent="0.35">
      <c r="G121" s="36"/>
      <c r="H121" s="36"/>
      <c r="I121" s="36"/>
      <c r="J121" s="36"/>
      <c r="K121" s="36"/>
    </row>
    <row r="122" spans="7:11" x14ac:dyDescent="0.35">
      <c r="G122" s="36"/>
      <c r="H122" s="36"/>
      <c r="I122" s="36"/>
      <c r="J122" s="36"/>
      <c r="K122" s="36"/>
    </row>
    <row r="123" spans="7:11" x14ac:dyDescent="0.35">
      <c r="G123" s="36"/>
      <c r="H123" s="36"/>
      <c r="I123" s="36"/>
      <c r="J123" s="36"/>
      <c r="K123" s="36"/>
    </row>
    <row r="124" spans="7:11" x14ac:dyDescent="0.35">
      <c r="G124" s="36"/>
      <c r="H124" s="36"/>
      <c r="I124" s="36"/>
      <c r="J124" s="36"/>
      <c r="K124" s="36"/>
    </row>
    <row r="125" spans="7:11" x14ac:dyDescent="0.35">
      <c r="G125" s="36"/>
      <c r="H125" s="36"/>
      <c r="I125" s="36"/>
      <c r="J125" s="36"/>
      <c r="K125" s="36"/>
    </row>
    <row r="126" spans="7:11" x14ac:dyDescent="0.35">
      <c r="G126" s="36"/>
      <c r="H126" s="36"/>
      <c r="I126" s="36"/>
      <c r="J126" s="36"/>
      <c r="K126" s="36"/>
    </row>
    <row r="127" spans="7:11" x14ac:dyDescent="0.35">
      <c r="G127" s="36"/>
      <c r="H127" s="36"/>
      <c r="I127" s="36"/>
      <c r="J127" s="36"/>
      <c r="K127" s="36"/>
    </row>
    <row r="128" spans="7:11" x14ac:dyDescent="0.35">
      <c r="G128" s="36"/>
      <c r="H128" s="36"/>
      <c r="I128" s="36"/>
      <c r="J128" s="36"/>
      <c r="K128" s="36"/>
    </row>
    <row r="129" spans="7:11" x14ac:dyDescent="0.35">
      <c r="G129" s="36"/>
      <c r="H129" s="36"/>
      <c r="I129" s="36"/>
      <c r="J129" s="36"/>
      <c r="K129" s="36"/>
    </row>
    <row r="130" spans="7:11" x14ac:dyDescent="0.35">
      <c r="G130" s="36"/>
      <c r="H130" s="36"/>
      <c r="I130" s="36"/>
      <c r="J130" s="36"/>
      <c r="K130" s="36"/>
    </row>
    <row r="131" spans="7:11" x14ac:dyDescent="0.35">
      <c r="G131" s="36"/>
      <c r="H131" s="36"/>
      <c r="I131" s="36"/>
      <c r="J131" s="36"/>
      <c r="K131" s="36"/>
    </row>
    <row r="132" spans="7:11" x14ac:dyDescent="0.35">
      <c r="G132" s="36"/>
      <c r="H132" s="36"/>
      <c r="I132" s="36"/>
      <c r="J132" s="36"/>
      <c r="K132" s="36"/>
    </row>
    <row r="133" spans="7:11" x14ac:dyDescent="0.35">
      <c r="G133" s="36"/>
      <c r="H133" s="36"/>
      <c r="I133" s="36"/>
      <c r="J133" s="36"/>
      <c r="K133" s="36"/>
    </row>
    <row r="134" spans="7:11" x14ac:dyDescent="0.35">
      <c r="G134" s="36"/>
      <c r="H134" s="36"/>
      <c r="I134" s="36"/>
      <c r="J134" s="36"/>
      <c r="K134" s="36"/>
    </row>
    <row r="135" spans="7:11" x14ac:dyDescent="0.35">
      <c r="G135" s="36"/>
      <c r="H135" s="36"/>
      <c r="I135" s="36"/>
      <c r="J135" s="36"/>
      <c r="K135" s="36"/>
    </row>
    <row r="136" spans="7:11" x14ac:dyDescent="0.35">
      <c r="G136" s="36"/>
      <c r="H136" s="36"/>
      <c r="I136" s="36"/>
      <c r="J136" s="36"/>
      <c r="K136" s="36"/>
    </row>
    <row r="137" spans="7:11" x14ac:dyDescent="0.35">
      <c r="G137" s="36"/>
      <c r="H137" s="36"/>
      <c r="I137" s="36"/>
      <c r="J137" s="36"/>
      <c r="K137" s="36"/>
    </row>
    <row r="138" spans="7:11" x14ac:dyDescent="0.35">
      <c r="G138" s="36"/>
      <c r="H138" s="36"/>
      <c r="I138" s="36"/>
      <c r="J138" s="36"/>
      <c r="K138" s="36"/>
    </row>
    <row r="139" spans="7:11" x14ac:dyDescent="0.35">
      <c r="G139" s="36"/>
      <c r="H139" s="36"/>
      <c r="I139" s="36"/>
      <c r="J139" s="36"/>
      <c r="K139" s="36"/>
    </row>
    <row r="140" spans="7:11" x14ac:dyDescent="0.35">
      <c r="G140" s="36"/>
      <c r="H140" s="36"/>
      <c r="I140" s="36"/>
      <c r="J140" s="36"/>
      <c r="K140" s="36"/>
    </row>
    <row r="141" spans="7:11" x14ac:dyDescent="0.35">
      <c r="G141" s="36"/>
      <c r="H141" s="36"/>
      <c r="I141" s="36"/>
      <c r="J141" s="36"/>
      <c r="K141" s="36"/>
    </row>
    <row r="142" spans="7:11" x14ac:dyDescent="0.35">
      <c r="G142" s="36"/>
      <c r="H142" s="36"/>
      <c r="I142" s="36"/>
      <c r="J142" s="36"/>
      <c r="K142" s="36"/>
    </row>
    <row r="143" spans="7:11" x14ac:dyDescent="0.35">
      <c r="G143" s="36"/>
      <c r="H143" s="36"/>
      <c r="I143" s="36"/>
      <c r="J143" s="36"/>
      <c r="K143" s="36"/>
    </row>
    <row r="144" spans="7:11" x14ac:dyDescent="0.35">
      <c r="G144" s="36"/>
      <c r="H144" s="36"/>
      <c r="I144" s="36"/>
      <c r="J144" s="36"/>
      <c r="K144" s="36"/>
    </row>
    <row r="145" spans="7:11" x14ac:dyDescent="0.35">
      <c r="G145" s="36"/>
      <c r="H145" s="36"/>
      <c r="I145" s="36"/>
      <c r="J145" s="36"/>
      <c r="K145" s="36"/>
    </row>
    <row r="146" spans="7:11" x14ac:dyDescent="0.35">
      <c r="G146" s="36"/>
      <c r="H146" s="36"/>
      <c r="I146" s="36"/>
      <c r="J146" s="36"/>
      <c r="K146" s="36"/>
    </row>
    <row r="147" spans="7:11" x14ac:dyDescent="0.35">
      <c r="G147" s="36"/>
      <c r="H147" s="36"/>
      <c r="I147" s="36"/>
      <c r="J147" s="36"/>
      <c r="K147" s="36"/>
    </row>
    <row r="148" spans="7:11" x14ac:dyDescent="0.35">
      <c r="G148" s="36"/>
      <c r="H148" s="36"/>
      <c r="I148" s="36"/>
      <c r="J148" s="36"/>
      <c r="K148" s="36"/>
    </row>
    <row r="149" spans="7:11" x14ac:dyDescent="0.35">
      <c r="G149" s="36"/>
      <c r="H149" s="36"/>
      <c r="I149" s="36"/>
      <c r="J149" s="36"/>
      <c r="K149" s="36"/>
    </row>
    <row r="150" spans="7:11" x14ac:dyDescent="0.35">
      <c r="G150" s="36"/>
      <c r="H150" s="36"/>
      <c r="I150" s="36"/>
      <c r="J150" s="36"/>
      <c r="K150" s="36"/>
    </row>
    <row r="151" spans="7:11" x14ac:dyDescent="0.35">
      <c r="G151" s="36"/>
      <c r="H151" s="36"/>
      <c r="I151" s="36"/>
      <c r="J151" s="36"/>
      <c r="K151" s="36"/>
    </row>
    <row r="152" spans="7:11" x14ac:dyDescent="0.35">
      <c r="G152" s="36"/>
      <c r="H152" s="36"/>
      <c r="I152" s="36"/>
      <c r="J152" s="36"/>
      <c r="K152" s="36"/>
    </row>
    <row r="153" spans="7:11" x14ac:dyDescent="0.35">
      <c r="G153" s="36"/>
      <c r="H153" s="36"/>
      <c r="I153" s="36"/>
      <c r="J153" s="36"/>
      <c r="K153" s="36"/>
    </row>
    <row r="154" spans="7:11" x14ac:dyDescent="0.35">
      <c r="G154" s="36"/>
      <c r="H154" s="36"/>
      <c r="I154" s="36"/>
      <c r="J154" s="36"/>
      <c r="K154" s="36"/>
    </row>
    <row r="155" spans="7:11" x14ac:dyDescent="0.35">
      <c r="G155" s="36"/>
      <c r="H155" s="36"/>
      <c r="I155" s="36"/>
      <c r="J155" s="36"/>
      <c r="K155" s="36"/>
    </row>
    <row r="156" spans="7:11" x14ac:dyDescent="0.35">
      <c r="G156" s="36"/>
      <c r="H156" s="36"/>
      <c r="I156" s="36"/>
      <c r="J156" s="36"/>
      <c r="K156" s="36"/>
    </row>
    <row r="157" spans="7:11" x14ac:dyDescent="0.35">
      <c r="G157" s="36"/>
      <c r="H157" s="36"/>
      <c r="I157" s="36"/>
      <c r="J157" s="36"/>
      <c r="K157" s="36"/>
    </row>
    <row r="158" spans="7:11" x14ac:dyDescent="0.35">
      <c r="G158" s="36"/>
      <c r="H158" s="36"/>
      <c r="I158" s="36"/>
      <c r="J158" s="36"/>
      <c r="K158" s="36"/>
    </row>
    <row r="159" spans="7:11" x14ac:dyDescent="0.35">
      <c r="G159" s="36"/>
      <c r="H159" s="36"/>
      <c r="I159" s="36"/>
      <c r="J159" s="36"/>
      <c r="K159" s="36"/>
    </row>
    <row r="160" spans="7:11" x14ac:dyDescent="0.35">
      <c r="G160" s="36"/>
      <c r="H160" s="36"/>
      <c r="I160" s="36"/>
      <c r="J160" s="36"/>
      <c r="K160" s="36"/>
    </row>
    <row r="161" spans="7:11" x14ac:dyDescent="0.35">
      <c r="G161" s="36"/>
      <c r="H161" s="36"/>
      <c r="I161" s="36"/>
      <c r="J161" s="36"/>
      <c r="K161" s="36"/>
    </row>
    <row r="162" spans="7:11" x14ac:dyDescent="0.35">
      <c r="G162" s="36"/>
      <c r="H162" s="36"/>
      <c r="I162" s="36"/>
      <c r="J162" s="36"/>
      <c r="K162" s="36"/>
    </row>
    <row r="163" spans="7:11" x14ac:dyDescent="0.35">
      <c r="G163" s="36"/>
      <c r="H163" s="36"/>
      <c r="I163" s="36"/>
      <c r="J163" s="36"/>
      <c r="K163" s="36"/>
    </row>
    <row r="164" spans="7:11" x14ac:dyDescent="0.35">
      <c r="G164" s="36"/>
      <c r="H164" s="36"/>
      <c r="I164" s="36"/>
      <c r="J164" s="36"/>
      <c r="K164" s="36"/>
    </row>
    <row r="165" spans="7:11" x14ac:dyDescent="0.35">
      <c r="G165" s="36"/>
      <c r="H165" s="36"/>
      <c r="I165" s="36"/>
      <c r="J165" s="36"/>
      <c r="K165" s="36"/>
    </row>
    <row r="166" spans="7:11" x14ac:dyDescent="0.35">
      <c r="G166" s="36"/>
      <c r="H166" s="36"/>
      <c r="I166" s="36"/>
      <c r="J166" s="36"/>
      <c r="K166" s="36"/>
    </row>
    <row r="167" spans="7:11" x14ac:dyDescent="0.35">
      <c r="G167" s="36"/>
      <c r="H167" s="36"/>
      <c r="I167" s="36"/>
      <c r="J167" s="36"/>
      <c r="K167" s="36"/>
    </row>
    <row r="168" spans="7:11" x14ac:dyDescent="0.35">
      <c r="G168" s="36"/>
      <c r="H168" s="36"/>
      <c r="I168" s="36"/>
      <c r="J168" s="36"/>
      <c r="K168" s="36"/>
    </row>
    <row r="169" spans="7:11" x14ac:dyDescent="0.35">
      <c r="G169" s="36"/>
      <c r="H169" s="36"/>
      <c r="I169" s="36"/>
      <c r="J169" s="36"/>
      <c r="K169" s="36"/>
    </row>
    <row r="170" spans="7:11" x14ac:dyDescent="0.35">
      <c r="G170" s="36"/>
      <c r="H170" s="36"/>
      <c r="I170" s="36"/>
      <c r="J170" s="36"/>
      <c r="K170" s="36"/>
    </row>
    <row r="171" spans="7:11" x14ac:dyDescent="0.35">
      <c r="G171" s="36"/>
      <c r="H171" s="36"/>
      <c r="I171" s="36"/>
      <c r="J171" s="36"/>
      <c r="K171" s="36"/>
    </row>
    <row r="172" spans="7:11" x14ac:dyDescent="0.35">
      <c r="G172" s="36"/>
      <c r="H172" s="36"/>
      <c r="I172" s="36"/>
      <c r="J172" s="36"/>
      <c r="K172" s="36"/>
    </row>
    <row r="173" spans="7:11" x14ac:dyDescent="0.35">
      <c r="G173" s="36"/>
      <c r="H173" s="36"/>
      <c r="I173" s="36"/>
      <c r="J173" s="36"/>
      <c r="K173" s="36"/>
    </row>
    <row r="174" spans="7:11" x14ac:dyDescent="0.35">
      <c r="G174" s="36"/>
      <c r="H174" s="36"/>
      <c r="I174" s="36"/>
      <c r="J174" s="36"/>
      <c r="K174" s="36"/>
    </row>
    <row r="175" spans="7:11" x14ac:dyDescent="0.35">
      <c r="G175" s="36"/>
      <c r="H175" s="36"/>
      <c r="I175" s="36"/>
      <c r="J175" s="36"/>
      <c r="K175" s="36"/>
    </row>
    <row r="176" spans="7:11" x14ac:dyDescent="0.35">
      <c r="G176" s="36"/>
      <c r="H176" s="36"/>
      <c r="I176" s="36"/>
      <c r="J176" s="36"/>
      <c r="K176" s="36"/>
    </row>
    <row r="177" spans="7:11" x14ac:dyDescent="0.35">
      <c r="G177" s="36"/>
      <c r="H177" s="36"/>
      <c r="I177" s="36"/>
      <c r="J177" s="36"/>
      <c r="K177" s="36"/>
    </row>
    <row r="178" spans="7:11" x14ac:dyDescent="0.35">
      <c r="G178" s="36"/>
      <c r="H178" s="36"/>
      <c r="I178" s="36"/>
      <c r="J178" s="36"/>
      <c r="K178" s="36"/>
    </row>
    <row r="179" spans="7:11" x14ac:dyDescent="0.35">
      <c r="G179" s="36"/>
      <c r="H179" s="36"/>
      <c r="I179" s="36"/>
      <c r="J179" s="36"/>
      <c r="K179" s="36"/>
    </row>
    <row r="180" spans="7:11" x14ac:dyDescent="0.35">
      <c r="G180" s="36"/>
      <c r="H180" s="36"/>
      <c r="I180" s="36"/>
      <c r="J180" s="36"/>
      <c r="K180" s="36"/>
    </row>
    <row r="181" spans="7:11" x14ac:dyDescent="0.35">
      <c r="G181" s="36"/>
      <c r="H181" s="36"/>
      <c r="I181" s="36"/>
      <c r="J181" s="36"/>
      <c r="K181" s="36"/>
    </row>
    <row r="182" spans="7:11" x14ac:dyDescent="0.35">
      <c r="G182" s="36"/>
      <c r="H182" s="36"/>
      <c r="I182" s="36"/>
      <c r="J182" s="36"/>
      <c r="K182" s="36"/>
    </row>
    <row r="183" spans="7:11" x14ac:dyDescent="0.35">
      <c r="G183" s="36"/>
      <c r="H183" s="36"/>
      <c r="I183" s="36"/>
      <c r="J183" s="36"/>
      <c r="K183" s="36"/>
    </row>
    <row r="184" spans="7:11" x14ac:dyDescent="0.35">
      <c r="G184" s="36"/>
      <c r="H184" s="36"/>
      <c r="I184" s="36"/>
      <c r="J184" s="36"/>
      <c r="K184" s="36"/>
    </row>
    <row r="185" spans="7:11" x14ac:dyDescent="0.35">
      <c r="G185" s="36"/>
      <c r="H185" s="36"/>
      <c r="I185" s="36"/>
      <c r="J185" s="36"/>
      <c r="K185" s="36"/>
    </row>
    <row r="186" spans="7:11" x14ac:dyDescent="0.35">
      <c r="G186" s="36"/>
      <c r="H186" s="36"/>
      <c r="I186" s="36"/>
      <c r="J186" s="36"/>
      <c r="K186" s="36"/>
    </row>
    <row r="187" spans="7:11" x14ac:dyDescent="0.35">
      <c r="G187" s="36"/>
      <c r="H187" s="36"/>
      <c r="I187" s="36"/>
      <c r="J187" s="36"/>
      <c r="K187" s="36"/>
    </row>
    <row r="188" spans="7:11" x14ac:dyDescent="0.35">
      <c r="G188" s="36"/>
      <c r="H188" s="36"/>
      <c r="I188" s="36"/>
      <c r="J188" s="36"/>
      <c r="K188" s="36"/>
    </row>
    <row r="189" spans="7:11" x14ac:dyDescent="0.35">
      <c r="G189" s="36"/>
      <c r="H189" s="36"/>
      <c r="I189" s="36"/>
      <c r="J189" s="36"/>
      <c r="K189" s="36"/>
    </row>
    <row r="190" spans="7:11" x14ac:dyDescent="0.35">
      <c r="G190" s="36"/>
      <c r="H190" s="36"/>
      <c r="I190" s="36"/>
      <c r="J190" s="36"/>
      <c r="K190" s="36"/>
    </row>
    <row r="191" spans="7:11" x14ac:dyDescent="0.35">
      <c r="G191" s="36"/>
      <c r="H191" s="36"/>
      <c r="I191" s="36"/>
      <c r="J191" s="36"/>
      <c r="K191" s="36"/>
    </row>
    <row r="192" spans="7:11" x14ac:dyDescent="0.35">
      <c r="G192" s="36"/>
      <c r="H192" s="36"/>
      <c r="I192" s="36"/>
      <c r="J192" s="36"/>
      <c r="K192" s="36"/>
    </row>
    <row r="193" spans="7:11" x14ac:dyDescent="0.35">
      <c r="G193" s="36"/>
      <c r="H193" s="36"/>
      <c r="I193" s="36"/>
      <c r="J193" s="36"/>
      <c r="K193" s="36"/>
    </row>
    <row r="194" spans="7:11" x14ac:dyDescent="0.35">
      <c r="G194" s="36"/>
      <c r="H194" s="36"/>
      <c r="I194" s="36"/>
      <c r="J194" s="36"/>
      <c r="K194" s="36"/>
    </row>
    <row r="195" spans="7:11" x14ac:dyDescent="0.35">
      <c r="G195" s="36"/>
      <c r="H195" s="36"/>
      <c r="I195" s="36"/>
      <c r="J195" s="36"/>
      <c r="K195" s="36"/>
    </row>
    <row r="196" spans="7:11" x14ac:dyDescent="0.35">
      <c r="G196" s="36"/>
      <c r="H196" s="36"/>
      <c r="I196" s="36"/>
      <c r="J196" s="36"/>
      <c r="K196" s="36"/>
    </row>
    <row r="197" spans="7:11" x14ac:dyDescent="0.35">
      <c r="G197" s="36"/>
      <c r="H197" s="36"/>
      <c r="I197" s="36"/>
      <c r="J197" s="36"/>
      <c r="K197" s="36"/>
    </row>
    <row r="198" spans="7:11" x14ac:dyDescent="0.35">
      <c r="G198" s="36"/>
      <c r="H198" s="36"/>
      <c r="I198" s="36"/>
      <c r="J198" s="36"/>
      <c r="K198" s="36"/>
    </row>
    <row r="199" spans="7:11" x14ac:dyDescent="0.35">
      <c r="G199" s="36"/>
      <c r="H199" s="36"/>
      <c r="I199" s="36"/>
      <c r="J199" s="36"/>
      <c r="K199" s="36"/>
    </row>
    <row r="200" spans="7:11" x14ac:dyDescent="0.35">
      <c r="G200" s="36"/>
      <c r="H200" s="36"/>
      <c r="I200" s="36"/>
      <c r="J200" s="36"/>
      <c r="K200" s="36"/>
    </row>
    <row r="201" spans="7:11" x14ac:dyDescent="0.35">
      <c r="G201" s="36"/>
      <c r="H201" s="36"/>
      <c r="I201" s="36"/>
      <c r="J201" s="36"/>
      <c r="K201" s="36"/>
    </row>
    <row r="202" spans="7:11" x14ac:dyDescent="0.35">
      <c r="G202" s="36"/>
      <c r="H202" s="36"/>
      <c r="I202" s="36"/>
      <c r="J202" s="36"/>
      <c r="K202" s="36"/>
    </row>
    <row r="203" spans="7:11" x14ac:dyDescent="0.35">
      <c r="G203" s="36"/>
      <c r="H203" s="36"/>
      <c r="I203" s="36"/>
      <c r="J203" s="36"/>
      <c r="K203" s="36"/>
    </row>
    <row r="204" spans="7:11" x14ac:dyDescent="0.35">
      <c r="G204" s="36"/>
      <c r="H204" s="36"/>
      <c r="I204" s="36"/>
      <c r="J204" s="36"/>
      <c r="K204" s="36"/>
    </row>
    <row r="205" spans="7:11" x14ac:dyDescent="0.35">
      <c r="G205" s="36"/>
      <c r="H205" s="36"/>
      <c r="I205" s="36"/>
      <c r="J205" s="36"/>
      <c r="K205" s="36"/>
    </row>
    <row r="206" spans="7:11" x14ac:dyDescent="0.35">
      <c r="G206" s="36"/>
      <c r="H206" s="36"/>
      <c r="I206" s="36"/>
      <c r="J206" s="36"/>
      <c r="K206" s="36"/>
    </row>
    <row r="207" spans="7:11" x14ac:dyDescent="0.35">
      <c r="G207" s="36"/>
      <c r="H207" s="36"/>
      <c r="I207" s="36"/>
      <c r="J207" s="36"/>
      <c r="K207" s="36"/>
    </row>
    <row r="208" spans="7:11" x14ac:dyDescent="0.35">
      <c r="G208" s="36"/>
      <c r="H208" s="36"/>
      <c r="I208" s="36"/>
      <c r="J208" s="36"/>
      <c r="K208" s="36"/>
    </row>
    <row r="209" spans="7:11" x14ac:dyDescent="0.35">
      <c r="G209" s="36"/>
      <c r="H209" s="36"/>
      <c r="I209" s="36"/>
      <c r="J209" s="36"/>
      <c r="K209" s="36"/>
    </row>
    <row r="210" spans="7:11" x14ac:dyDescent="0.35">
      <c r="G210" s="36"/>
      <c r="H210" s="36"/>
      <c r="I210" s="36"/>
      <c r="J210" s="36"/>
      <c r="K210" s="36"/>
    </row>
    <row r="211" spans="7:11" x14ac:dyDescent="0.35">
      <c r="G211" s="36"/>
      <c r="H211" s="36"/>
      <c r="I211" s="36"/>
      <c r="J211" s="36"/>
      <c r="K211" s="36"/>
    </row>
    <row r="212" spans="7:11" x14ac:dyDescent="0.35">
      <c r="G212" s="36"/>
      <c r="H212" s="36"/>
      <c r="I212" s="36"/>
      <c r="J212" s="36"/>
      <c r="K212" s="36"/>
    </row>
    <row r="213" spans="7:11" x14ac:dyDescent="0.35">
      <c r="G213" s="36"/>
      <c r="H213" s="36"/>
      <c r="I213" s="36"/>
      <c r="J213" s="36"/>
      <c r="K213" s="36"/>
    </row>
    <row r="214" spans="7:11" x14ac:dyDescent="0.35">
      <c r="G214" s="36"/>
      <c r="H214" s="36"/>
      <c r="I214" s="36"/>
      <c r="J214" s="36"/>
      <c r="K214" s="36"/>
    </row>
    <row r="215" spans="7:11" x14ac:dyDescent="0.35">
      <c r="G215" s="36"/>
      <c r="H215" s="36"/>
      <c r="I215" s="36"/>
      <c r="J215" s="36"/>
      <c r="K215" s="36"/>
    </row>
    <row r="216" spans="7:11" x14ac:dyDescent="0.35">
      <c r="G216" s="36"/>
      <c r="H216" s="36"/>
      <c r="I216" s="36"/>
      <c r="J216" s="36"/>
      <c r="K216" s="36"/>
    </row>
    <row r="217" spans="7:11" x14ac:dyDescent="0.35">
      <c r="G217" s="36"/>
      <c r="H217" s="36"/>
      <c r="I217" s="36"/>
      <c r="J217" s="36"/>
      <c r="K217" s="36"/>
    </row>
    <row r="218" spans="7:11" x14ac:dyDescent="0.35">
      <c r="G218" s="36"/>
      <c r="H218" s="36"/>
      <c r="I218" s="36"/>
      <c r="J218" s="36"/>
      <c r="K218" s="36"/>
    </row>
    <row r="219" spans="7:11" x14ac:dyDescent="0.35">
      <c r="G219" s="36"/>
      <c r="H219" s="36"/>
      <c r="I219" s="36"/>
      <c r="J219" s="36"/>
      <c r="K219" s="36"/>
    </row>
    <row r="220" spans="7:11" x14ac:dyDescent="0.35">
      <c r="G220" s="36"/>
      <c r="H220" s="36"/>
      <c r="I220" s="36"/>
      <c r="J220" s="36"/>
      <c r="K220" s="36"/>
    </row>
    <row r="221" spans="7:11" x14ac:dyDescent="0.35">
      <c r="G221" s="36"/>
      <c r="H221" s="36"/>
      <c r="I221" s="36"/>
      <c r="J221" s="36"/>
      <c r="K221" s="36"/>
    </row>
    <row r="222" spans="7:11" x14ac:dyDescent="0.35">
      <c r="G222" s="36"/>
      <c r="H222" s="36"/>
      <c r="I222" s="36"/>
      <c r="J222" s="36"/>
      <c r="K222" s="36"/>
    </row>
    <row r="223" spans="7:11" x14ac:dyDescent="0.35">
      <c r="G223" s="36"/>
      <c r="H223" s="36"/>
      <c r="I223" s="36"/>
      <c r="J223" s="36"/>
      <c r="K223" s="36"/>
    </row>
    <row r="224" spans="7:11" x14ac:dyDescent="0.35">
      <c r="G224" s="36"/>
      <c r="H224" s="36"/>
      <c r="I224" s="36"/>
      <c r="J224" s="36"/>
      <c r="K224" s="36"/>
    </row>
    <row r="225" spans="7:11" x14ac:dyDescent="0.35">
      <c r="G225" s="36"/>
      <c r="H225" s="36"/>
      <c r="I225" s="36"/>
      <c r="J225" s="36"/>
      <c r="K225" s="36"/>
    </row>
    <row r="226" spans="7:11" x14ac:dyDescent="0.35">
      <c r="G226" s="36"/>
      <c r="H226" s="36"/>
      <c r="I226" s="36"/>
      <c r="J226" s="36"/>
      <c r="K226" s="36"/>
    </row>
    <row r="227" spans="7:11" x14ac:dyDescent="0.35">
      <c r="G227" s="36"/>
      <c r="H227" s="36"/>
      <c r="I227" s="36"/>
      <c r="J227" s="36"/>
      <c r="K227" s="36"/>
    </row>
    <row r="228" spans="7:11" x14ac:dyDescent="0.35">
      <c r="G228" s="36"/>
      <c r="H228" s="36"/>
      <c r="I228" s="36"/>
      <c r="J228" s="36"/>
      <c r="K228" s="36"/>
    </row>
    <row r="229" spans="7:11" x14ac:dyDescent="0.35">
      <c r="G229" s="36"/>
      <c r="H229" s="36"/>
      <c r="I229" s="36"/>
      <c r="J229" s="36"/>
      <c r="K229" s="36"/>
    </row>
    <row r="230" spans="7:11" x14ac:dyDescent="0.35">
      <c r="G230" s="36"/>
      <c r="H230" s="36"/>
      <c r="I230" s="36"/>
      <c r="J230" s="36"/>
      <c r="K230" s="36"/>
    </row>
    <row r="231" spans="7:11" x14ac:dyDescent="0.35">
      <c r="G231" s="36"/>
      <c r="H231" s="36"/>
      <c r="I231" s="36"/>
      <c r="J231" s="36"/>
      <c r="K231" s="36"/>
    </row>
    <row r="232" spans="7:11" x14ac:dyDescent="0.35">
      <c r="G232" s="36"/>
      <c r="H232" s="36"/>
      <c r="I232" s="36"/>
      <c r="J232" s="36"/>
      <c r="K232" s="36"/>
    </row>
    <row r="233" spans="7:11" x14ac:dyDescent="0.35">
      <c r="G233" s="36"/>
      <c r="H233" s="36"/>
      <c r="I233" s="36"/>
      <c r="J233" s="36"/>
      <c r="K233" s="36"/>
    </row>
    <row r="234" spans="7:11" x14ac:dyDescent="0.35">
      <c r="G234" s="36"/>
      <c r="H234" s="36"/>
      <c r="I234" s="36"/>
      <c r="J234" s="36"/>
      <c r="K234" s="36"/>
    </row>
    <row r="235" spans="7:11" x14ac:dyDescent="0.35">
      <c r="G235" s="36"/>
      <c r="H235" s="36"/>
      <c r="I235" s="36"/>
      <c r="J235" s="36"/>
      <c r="K235" s="36"/>
    </row>
    <row r="236" spans="7:11" x14ac:dyDescent="0.35">
      <c r="G236" s="36"/>
      <c r="H236" s="36"/>
      <c r="I236" s="36"/>
      <c r="J236" s="36"/>
      <c r="K236" s="36"/>
    </row>
    <row r="237" spans="7:11" x14ac:dyDescent="0.35">
      <c r="G237" s="36"/>
      <c r="H237" s="36"/>
      <c r="I237" s="36"/>
      <c r="J237" s="36"/>
      <c r="K237" s="36"/>
    </row>
    <row r="238" spans="7:11" x14ac:dyDescent="0.35">
      <c r="G238" s="36"/>
      <c r="H238" s="36"/>
      <c r="I238" s="36"/>
      <c r="J238" s="36"/>
      <c r="K238" s="36"/>
    </row>
    <row r="239" spans="7:11" x14ac:dyDescent="0.35">
      <c r="G239" s="36"/>
      <c r="H239" s="36"/>
      <c r="I239" s="36"/>
      <c r="J239" s="36"/>
      <c r="K239" s="36"/>
    </row>
    <row r="240" spans="7:11" x14ac:dyDescent="0.35">
      <c r="G240" s="36"/>
      <c r="H240" s="36"/>
      <c r="I240" s="36"/>
      <c r="J240" s="36"/>
      <c r="K240" s="36"/>
    </row>
    <row r="241" spans="7:11" x14ac:dyDescent="0.35">
      <c r="G241" s="36"/>
      <c r="H241" s="36"/>
      <c r="I241" s="36"/>
      <c r="J241" s="36"/>
      <c r="K241" s="36"/>
    </row>
    <row r="242" spans="7:11" x14ac:dyDescent="0.35">
      <c r="G242" s="36"/>
      <c r="H242" s="36"/>
      <c r="I242" s="36"/>
      <c r="J242" s="36"/>
      <c r="K242" s="36"/>
    </row>
    <row r="243" spans="7:11" x14ac:dyDescent="0.35">
      <c r="G243" s="36"/>
      <c r="H243" s="36"/>
      <c r="I243" s="36"/>
      <c r="J243" s="36"/>
      <c r="K243" s="36"/>
    </row>
    <row r="244" spans="7:11" x14ac:dyDescent="0.35">
      <c r="G244" s="36"/>
      <c r="H244" s="36"/>
      <c r="I244" s="36"/>
      <c r="J244" s="36"/>
      <c r="K244" s="36"/>
    </row>
    <row r="245" spans="7:11" x14ac:dyDescent="0.35">
      <c r="G245" s="36"/>
      <c r="H245" s="36"/>
      <c r="I245" s="36"/>
      <c r="J245" s="36"/>
      <c r="K245" s="36"/>
    </row>
    <row r="246" spans="7:11" x14ac:dyDescent="0.35">
      <c r="G246" s="36"/>
      <c r="H246" s="36"/>
      <c r="I246" s="36"/>
      <c r="J246" s="36"/>
      <c r="K246" s="36"/>
    </row>
    <row r="247" spans="7:11" x14ac:dyDescent="0.35">
      <c r="G247" s="36"/>
      <c r="H247" s="36"/>
      <c r="I247" s="36"/>
      <c r="J247" s="36"/>
      <c r="K247" s="36"/>
    </row>
    <row r="248" spans="7:11" x14ac:dyDescent="0.35">
      <c r="G248" s="36"/>
      <c r="H248" s="36"/>
      <c r="I248" s="36"/>
      <c r="J248" s="36"/>
      <c r="K248" s="36"/>
    </row>
    <row r="249" spans="7:11" x14ac:dyDescent="0.35">
      <c r="G249" s="36"/>
      <c r="H249" s="36"/>
      <c r="I249" s="36"/>
      <c r="J249" s="36"/>
      <c r="K249" s="36"/>
    </row>
    <row r="250" spans="7:11" x14ac:dyDescent="0.35">
      <c r="G250" s="36"/>
      <c r="H250" s="36"/>
      <c r="I250" s="36"/>
      <c r="J250" s="36"/>
      <c r="K250" s="36"/>
    </row>
    <row r="251" spans="7:11" x14ac:dyDescent="0.35">
      <c r="G251" s="36"/>
      <c r="H251" s="36"/>
      <c r="I251" s="36"/>
      <c r="J251" s="36"/>
      <c r="K251" s="36"/>
    </row>
    <row r="252" spans="7:11" x14ac:dyDescent="0.35">
      <c r="G252" s="36"/>
      <c r="H252" s="36"/>
      <c r="I252" s="36"/>
      <c r="J252" s="36"/>
      <c r="K252" s="36"/>
    </row>
    <row r="253" spans="7:11" x14ac:dyDescent="0.35">
      <c r="G253" s="36"/>
      <c r="H253" s="36"/>
      <c r="I253" s="36"/>
      <c r="J253" s="36"/>
      <c r="K253" s="36"/>
    </row>
    <row r="254" spans="7:11" x14ac:dyDescent="0.35">
      <c r="G254" s="36"/>
      <c r="H254" s="36"/>
      <c r="I254" s="36"/>
      <c r="J254" s="36"/>
      <c r="K254" s="36"/>
    </row>
    <row r="255" spans="7:11" x14ac:dyDescent="0.35">
      <c r="G255" s="36"/>
      <c r="H255" s="36"/>
      <c r="I255" s="36"/>
      <c r="J255" s="36"/>
      <c r="K255" s="36"/>
    </row>
    <row r="256" spans="7:11" x14ac:dyDescent="0.35">
      <c r="G256" s="36"/>
      <c r="H256" s="36"/>
      <c r="I256" s="36"/>
      <c r="J256" s="36"/>
      <c r="K256" s="36"/>
    </row>
    <row r="257" spans="7:11" x14ac:dyDescent="0.35">
      <c r="G257" s="36"/>
      <c r="H257" s="36"/>
      <c r="I257" s="36"/>
      <c r="J257" s="36"/>
      <c r="K257" s="36"/>
    </row>
    <row r="258" spans="7:11" x14ac:dyDescent="0.35">
      <c r="G258" s="36"/>
      <c r="H258" s="36"/>
      <c r="I258" s="36"/>
      <c r="J258" s="36"/>
      <c r="K258" s="36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J43"/>
  <sheetViews>
    <sheetView workbookViewId="0"/>
  </sheetViews>
  <sheetFormatPr defaultColWidth="9.1796875" defaultRowHeight="14.5" x14ac:dyDescent="0.35"/>
  <cols>
    <col min="1" max="4" width="9.1796875" style="2"/>
    <col min="5" max="6" width="9.1796875" style="2" customWidth="1"/>
    <col min="7" max="7" width="20.54296875" style="2" bestFit="1" customWidth="1"/>
    <col min="8" max="8" width="10.81640625" style="2" customWidth="1"/>
    <col min="9" max="9" width="13.54296875" style="2" bestFit="1" customWidth="1"/>
    <col min="10" max="10" width="2.1796875" style="2" customWidth="1"/>
    <col min="11" max="11" width="9.1796875" style="2" customWidth="1"/>
    <col min="12" max="22" width="9.1796875" style="2"/>
    <col min="23" max="23" width="18.81640625" style="2" bestFit="1" customWidth="1"/>
    <col min="24" max="24" width="13.54296875" style="2" bestFit="1" customWidth="1"/>
    <col min="25" max="25" width="11" style="2" bestFit="1" customWidth="1"/>
    <col min="26" max="29" width="9.1796875" style="2"/>
    <col min="30" max="30" width="7.54296875" style="2" bestFit="1" customWidth="1"/>
    <col min="31" max="31" width="9.26953125" style="2" bestFit="1" customWidth="1"/>
    <col min="32" max="32" width="16" style="2" bestFit="1" customWidth="1"/>
    <col min="33" max="33" width="16.453125" style="2" bestFit="1" customWidth="1"/>
    <col min="34" max="34" width="17.54296875" style="2" bestFit="1" customWidth="1"/>
    <col min="35" max="35" width="12.26953125" style="2" bestFit="1" customWidth="1"/>
    <col min="36" max="36" width="10.26953125" style="2" bestFit="1" customWidth="1"/>
    <col min="37" max="16384" width="9.1796875" style="2"/>
  </cols>
  <sheetData>
    <row r="1" spans="1:36" x14ac:dyDescent="0.35">
      <c r="A1" s="1" t="s">
        <v>0</v>
      </c>
      <c r="L1" s="2" t="s">
        <v>667</v>
      </c>
      <c r="P1" s="1" t="s">
        <v>0</v>
      </c>
      <c r="Y1"/>
      <c r="Z1"/>
      <c r="AA1" s="1" t="s">
        <v>0</v>
      </c>
    </row>
    <row r="2" spans="1:36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858</v>
      </c>
      <c r="M2" s="2" t="s">
        <v>859</v>
      </c>
      <c r="N2" s="2" t="s">
        <v>860</v>
      </c>
      <c r="P2" s="1" t="s">
        <v>1</v>
      </c>
      <c r="Q2" s="1" t="s">
        <v>2</v>
      </c>
      <c r="R2" s="1" t="s">
        <v>3</v>
      </c>
      <c r="S2" s="1" t="s">
        <v>87</v>
      </c>
      <c r="T2" s="1" t="s">
        <v>4</v>
      </c>
      <c r="U2" s="1" t="s">
        <v>5</v>
      </c>
      <c r="V2" s="1" t="s">
        <v>6</v>
      </c>
      <c r="W2" s="1" t="s">
        <v>7</v>
      </c>
      <c r="X2" s="1" t="s">
        <v>8</v>
      </c>
      <c r="Y2" s="1" t="s">
        <v>9</v>
      </c>
      <c r="Z2"/>
      <c r="AA2" s="1" t="s">
        <v>1</v>
      </c>
      <c r="AB2" s="1" t="s">
        <v>2</v>
      </c>
      <c r="AC2" s="1" t="s">
        <v>3</v>
      </c>
      <c r="AD2" s="2" t="s">
        <v>87</v>
      </c>
      <c r="AE2" s="2" t="s">
        <v>4</v>
      </c>
      <c r="AF2" s="2" t="s">
        <v>5</v>
      </c>
      <c r="AG2" s="2" t="s">
        <v>6</v>
      </c>
      <c r="AH2" s="2" t="s">
        <v>7</v>
      </c>
      <c r="AI2" s="2" t="s">
        <v>8</v>
      </c>
      <c r="AJ2" s="2" t="s">
        <v>9</v>
      </c>
    </row>
    <row r="3" spans="1:36" x14ac:dyDescent="0.35">
      <c r="A3">
        <v>1</v>
      </c>
      <c r="B3" s="4">
        <v>0.02</v>
      </c>
      <c r="C3">
        <v>20</v>
      </c>
      <c r="D3" s="2">
        <v>153</v>
      </c>
      <c r="E3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26.14</v>
      </c>
      <c r="N3" s="2">
        <v>4.5669000000000004</v>
      </c>
      <c r="P3">
        <v>2</v>
      </c>
      <c r="Q3" s="4">
        <f t="shared" ref="Q3:Q18" si="0">R3/1000</f>
        <v>0.2</v>
      </c>
      <c r="R3">
        <v>200</v>
      </c>
      <c r="S3" s="4">
        <v>0.4</v>
      </c>
      <c r="T3" s="2">
        <v>153</v>
      </c>
      <c r="U3">
        <v>8.4512</v>
      </c>
      <c r="V3" t="s">
        <v>90</v>
      </c>
      <c r="W3" t="s">
        <v>91</v>
      </c>
      <c r="X3" s="6">
        <v>44667</v>
      </c>
      <c r="Y3" s="6">
        <v>51501</v>
      </c>
      <c r="Z3"/>
      <c r="AA3">
        <v>2</v>
      </c>
      <c r="AB3" s="4">
        <v>0.375</v>
      </c>
      <c r="AC3">
        <v>375</v>
      </c>
      <c r="AD3" s="4">
        <f>AB3*AA3</f>
        <v>0.75</v>
      </c>
      <c r="AE3" s="2">
        <v>153</v>
      </c>
      <c r="AF3">
        <v>15.527699999999999</v>
      </c>
      <c r="AG3" s="2" t="s">
        <v>88</v>
      </c>
      <c r="AH3" s="2" t="s">
        <v>89</v>
      </c>
      <c r="AI3" s="108">
        <v>44667</v>
      </c>
      <c r="AJ3" s="108">
        <v>51501</v>
      </c>
    </row>
    <row r="4" spans="1:36" x14ac:dyDescent="0.35">
      <c r="A4">
        <v>1</v>
      </c>
      <c r="B4" s="4">
        <v>2.9000000000000001E-2</v>
      </c>
      <c r="C4">
        <v>29</v>
      </c>
      <c r="D4" s="2">
        <v>153</v>
      </c>
      <c r="E4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P4">
        <v>2</v>
      </c>
      <c r="Q4" s="4">
        <f t="shared" si="0"/>
        <v>0.375</v>
      </c>
      <c r="R4">
        <v>375</v>
      </c>
      <c r="S4" s="4">
        <v>0.75</v>
      </c>
      <c r="T4" s="2">
        <v>153</v>
      </c>
      <c r="U4">
        <v>15.5307</v>
      </c>
      <c r="V4" t="s">
        <v>92</v>
      </c>
      <c r="W4" t="s">
        <v>93</v>
      </c>
      <c r="X4" s="6">
        <v>44667</v>
      </c>
      <c r="Y4" s="6">
        <v>51501</v>
      </c>
      <c r="Z4"/>
      <c r="AA4">
        <v>3</v>
      </c>
      <c r="AB4" s="4">
        <f t="shared" ref="AB4:AB16" si="1">AC4/1000</f>
        <v>0.02</v>
      </c>
      <c r="AC4">
        <v>20</v>
      </c>
      <c r="AD4" s="4">
        <v>0.06</v>
      </c>
      <c r="AE4" s="2">
        <v>153</v>
      </c>
      <c r="AF4" s="2">
        <v>1.4693000000000001</v>
      </c>
      <c r="AG4" s="2" t="s">
        <v>94</v>
      </c>
      <c r="AH4" s="2" t="s">
        <v>95</v>
      </c>
      <c r="AI4" s="108"/>
      <c r="AJ4" s="108"/>
    </row>
    <row r="5" spans="1:36" x14ac:dyDescent="0.35">
      <c r="A5">
        <v>1</v>
      </c>
      <c r="B5" s="4">
        <v>0.03</v>
      </c>
      <c r="C5">
        <v>30</v>
      </c>
      <c r="D5" s="2">
        <v>153</v>
      </c>
      <c r="E5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P5">
        <v>3</v>
      </c>
      <c r="Q5" s="4">
        <f t="shared" si="0"/>
        <v>0.1</v>
      </c>
      <c r="R5">
        <v>100</v>
      </c>
      <c r="S5" s="4">
        <v>0.3</v>
      </c>
      <c r="T5" s="2">
        <v>153</v>
      </c>
      <c r="U5">
        <v>7.3461999999999996</v>
      </c>
      <c r="V5" t="s">
        <v>887</v>
      </c>
      <c r="W5" t="s">
        <v>888</v>
      </c>
      <c r="X5" s="6">
        <v>44667</v>
      </c>
      <c r="Y5" s="6">
        <v>51501</v>
      </c>
      <c r="Z5"/>
      <c r="AA5">
        <v>3</v>
      </c>
      <c r="AB5" s="4">
        <f t="shared" si="1"/>
        <v>0.2</v>
      </c>
      <c r="AC5">
        <v>200</v>
      </c>
      <c r="AD5" s="4">
        <v>0.60000000000000009</v>
      </c>
      <c r="AE5" s="2">
        <v>153</v>
      </c>
      <c r="AF5" s="2">
        <v>12.677899999999999</v>
      </c>
      <c r="AG5" s="2" t="s">
        <v>96</v>
      </c>
      <c r="AH5" s="2" t="s">
        <v>97</v>
      </c>
      <c r="AI5" s="108"/>
      <c r="AJ5" s="108"/>
    </row>
    <row r="6" spans="1:36" x14ac:dyDescent="0.35">
      <c r="A6">
        <v>1</v>
      </c>
      <c r="B6" s="4">
        <v>0.04</v>
      </c>
      <c r="C6">
        <v>40</v>
      </c>
      <c r="D6" s="2">
        <v>153</v>
      </c>
      <c r="E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P6">
        <v>3</v>
      </c>
      <c r="Q6" s="4">
        <f t="shared" si="0"/>
        <v>0.2</v>
      </c>
      <c r="R6">
        <v>200</v>
      </c>
      <c r="S6" s="4">
        <v>0.6</v>
      </c>
      <c r="T6" s="2">
        <v>153</v>
      </c>
      <c r="U6">
        <v>12.677899999999999</v>
      </c>
      <c r="V6" t="s">
        <v>100</v>
      </c>
      <c r="W6" t="s">
        <v>101</v>
      </c>
      <c r="X6" s="6">
        <v>44667</v>
      </c>
      <c r="Y6" s="6">
        <v>51501</v>
      </c>
      <c r="Z6"/>
      <c r="AA6">
        <v>3</v>
      </c>
      <c r="AB6" s="4">
        <f t="shared" si="1"/>
        <v>0.375</v>
      </c>
      <c r="AC6">
        <v>375</v>
      </c>
      <c r="AD6" s="4">
        <v>1.125</v>
      </c>
      <c r="AE6" s="2">
        <v>153</v>
      </c>
      <c r="AF6" s="2">
        <v>23.292100000000001</v>
      </c>
      <c r="AG6" s="2" t="s">
        <v>98</v>
      </c>
      <c r="AH6" s="2" t="s">
        <v>99</v>
      </c>
      <c r="AI6" s="108"/>
      <c r="AJ6" s="108"/>
    </row>
    <row r="7" spans="1:36" x14ac:dyDescent="0.35">
      <c r="A7">
        <v>1</v>
      </c>
      <c r="B7" s="4">
        <v>0.05</v>
      </c>
      <c r="C7">
        <v>50</v>
      </c>
      <c r="D7" s="2">
        <v>153</v>
      </c>
      <c r="E7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P7">
        <v>3</v>
      </c>
      <c r="Q7" s="4">
        <f t="shared" si="0"/>
        <v>0.04</v>
      </c>
      <c r="R7">
        <v>40</v>
      </c>
      <c r="S7" s="4">
        <v>0.12</v>
      </c>
      <c r="T7" s="2">
        <v>153</v>
      </c>
      <c r="U7">
        <v>2.9384999999999999</v>
      </c>
      <c r="V7" t="s">
        <v>102</v>
      </c>
      <c r="W7" t="s">
        <v>103</v>
      </c>
      <c r="X7" s="6">
        <v>44667</v>
      </c>
      <c r="Y7" s="6">
        <v>51501</v>
      </c>
      <c r="Z7"/>
      <c r="AA7">
        <v>4</v>
      </c>
      <c r="AB7" s="4">
        <f t="shared" si="1"/>
        <v>0.2</v>
      </c>
      <c r="AC7">
        <v>200</v>
      </c>
      <c r="AD7" s="4">
        <v>0.8</v>
      </c>
      <c r="AE7" s="2">
        <v>153</v>
      </c>
      <c r="AF7" s="2">
        <v>16.904399999999999</v>
      </c>
      <c r="AG7" s="2" t="s">
        <v>106</v>
      </c>
      <c r="AH7" s="2" t="s">
        <v>107</v>
      </c>
      <c r="AI7" s="108"/>
      <c r="AJ7" s="108"/>
    </row>
    <row r="8" spans="1:36" x14ac:dyDescent="0.35">
      <c r="A8">
        <v>1</v>
      </c>
      <c r="B8" s="4">
        <v>0.1</v>
      </c>
      <c r="C8">
        <v>100</v>
      </c>
      <c r="D8" s="2">
        <v>153</v>
      </c>
      <c r="E8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P8">
        <v>3</v>
      </c>
      <c r="Q8" s="4">
        <f t="shared" si="0"/>
        <v>0.05</v>
      </c>
      <c r="R8">
        <v>50</v>
      </c>
      <c r="S8" s="4">
        <v>0.15</v>
      </c>
      <c r="T8" s="2">
        <v>153</v>
      </c>
      <c r="U8">
        <v>3.6736</v>
      </c>
      <c r="V8" t="s">
        <v>104</v>
      </c>
      <c r="W8" t="s">
        <v>105</v>
      </c>
      <c r="X8" s="6">
        <v>44667</v>
      </c>
      <c r="Y8" s="6">
        <v>51501</v>
      </c>
      <c r="AA8">
        <v>4</v>
      </c>
      <c r="AB8" s="4">
        <f t="shared" si="1"/>
        <v>2.5000000000000001E-2</v>
      </c>
      <c r="AC8">
        <v>25</v>
      </c>
      <c r="AD8" s="4">
        <v>0.1</v>
      </c>
      <c r="AE8" s="2">
        <v>153</v>
      </c>
      <c r="AF8" s="2">
        <v>2.4487000000000001</v>
      </c>
      <c r="AG8" s="2" t="s">
        <v>108</v>
      </c>
      <c r="AH8" s="2" t="s">
        <v>109</v>
      </c>
      <c r="AI8" s="108"/>
      <c r="AJ8" s="108"/>
    </row>
    <row r="9" spans="1:36" x14ac:dyDescent="0.35">
      <c r="A9">
        <v>1</v>
      </c>
      <c r="B9" s="4">
        <v>0.2</v>
      </c>
      <c r="C9">
        <v>200</v>
      </c>
      <c r="D9" s="2">
        <v>153</v>
      </c>
      <c r="E9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P9">
        <v>4</v>
      </c>
      <c r="Q9" s="4">
        <f t="shared" si="0"/>
        <v>0.1</v>
      </c>
      <c r="R9">
        <v>100</v>
      </c>
      <c r="S9" s="4">
        <v>0.4</v>
      </c>
      <c r="T9" s="2">
        <v>153</v>
      </c>
      <c r="U9">
        <v>9.7949000000000002</v>
      </c>
      <c r="V9" t="s">
        <v>889</v>
      </c>
      <c r="W9" t="s">
        <v>890</v>
      </c>
      <c r="X9" s="6">
        <v>44667</v>
      </c>
      <c r="Y9" s="6">
        <v>51501</v>
      </c>
      <c r="AA9">
        <v>4</v>
      </c>
      <c r="AB9" s="4">
        <f t="shared" si="1"/>
        <v>0.03</v>
      </c>
      <c r="AC9">
        <v>30</v>
      </c>
      <c r="AD9" s="4">
        <v>0.12</v>
      </c>
      <c r="AE9" s="2">
        <v>153</v>
      </c>
      <c r="AF9" s="2">
        <v>2.9384999999999999</v>
      </c>
      <c r="AG9" s="2" t="s">
        <v>110</v>
      </c>
      <c r="AH9" s="2" t="s">
        <v>111</v>
      </c>
      <c r="AI9" s="108"/>
      <c r="AJ9" s="108"/>
    </row>
    <row r="10" spans="1:36" x14ac:dyDescent="0.35">
      <c r="A10">
        <v>1</v>
      </c>
      <c r="B10" s="4">
        <v>0.25</v>
      </c>
      <c r="C10">
        <v>250</v>
      </c>
      <c r="D10" s="2">
        <v>153</v>
      </c>
      <c r="E10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P10">
        <v>4</v>
      </c>
      <c r="Q10" s="4">
        <f t="shared" si="0"/>
        <v>0.2</v>
      </c>
      <c r="R10">
        <v>200</v>
      </c>
      <c r="S10" s="4">
        <v>0.8</v>
      </c>
      <c r="T10" s="2">
        <v>153</v>
      </c>
      <c r="U10">
        <v>16.904399999999999</v>
      </c>
      <c r="V10" t="s">
        <v>116</v>
      </c>
      <c r="W10" t="s">
        <v>117</v>
      </c>
      <c r="X10" s="6">
        <v>44667</v>
      </c>
      <c r="Y10" s="6">
        <v>51501</v>
      </c>
      <c r="AA10">
        <v>4</v>
      </c>
      <c r="AB10" s="4">
        <f t="shared" si="1"/>
        <v>0.05</v>
      </c>
      <c r="AC10">
        <v>50</v>
      </c>
      <c r="AD10" s="4">
        <v>0.2</v>
      </c>
      <c r="AE10" s="2">
        <v>153</v>
      </c>
      <c r="AF10" s="2">
        <v>4.8981000000000003</v>
      </c>
      <c r="AG10" s="2" t="s">
        <v>112</v>
      </c>
      <c r="AH10" s="2" t="s">
        <v>113</v>
      </c>
      <c r="AI10" s="108"/>
      <c r="AJ10" s="108"/>
    </row>
    <row r="11" spans="1:36" x14ac:dyDescent="0.35">
      <c r="A11">
        <v>1</v>
      </c>
      <c r="B11" s="4">
        <v>0.3</v>
      </c>
      <c r="C11">
        <v>300</v>
      </c>
      <c r="D11" s="2">
        <v>153</v>
      </c>
      <c r="E11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P11">
        <v>4</v>
      </c>
      <c r="Q11" s="4">
        <f t="shared" si="0"/>
        <v>0.05</v>
      </c>
      <c r="R11">
        <v>50</v>
      </c>
      <c r="S11" s="4">
        <v>0.2</v>
      </c>
      <c r="T11" s="2">
        <v>153</v>
      </c>
      <c r="U11">
        <v>4.8978999999999999</v>
      </c>
      <c r="V11" t="s">
        <v>891</v>
      </c>
      <c r="W11" t="s">
        <v>892</v>
      </c>
      <c r="X11" s="6">
        <v>44667</v>
      </c>
      <c r="Y11" s="6">
        <v>51501</v>
      </c>
      <c r="AA11">
        <v>4</v>
      </c>
      <c r="AB11" s="4">
        <f t="shared" si="1"/>
        <v>7.0000000000000007E-2</v>
      </c>
      <c r="AC11">
        <v>70</v>
      </c>
      <c r="AD11" s="4">
        <v>0.28000000000000003</v>
      </c>
      <c r="AE11" s="2">
        <v>153</v>
      </c>
      <c r="AF11" s="2">
        <v>6.9809999999999999</v>
      </c>
      <c r="AG11" s="2" t="s">
        <v>114</v>
      </c>
      <c r="AH11" s="2" t="s">
        <v>115</v>
      </c>
      <c r="AI11" s="108"/>
      <c r="AJ11" s="108"/>
    </row>
    <row r="12" spans="1:36" x14ac:dyDescent="0.35">
      <c r="A12">
        <v>1</v>
      </c>
      <c r="B12" s="4">
        <v>0.34100000000000003</v>
      </c>
      <c r="C12">
        <v>341</v>
      </c>
      <c r="D12" s="2">
        <v>153</v>
      </c>
      <c r="E12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P12">
        <v>5</v>
      </c>
      <c r="Q12" s="4">
        <f t="shared" si="0"/>
        <v>0.2</v>
      </c>
      <c r="R12">
        <v>200</v>
      </c>
      <c r="S12" s="4">
        <v>1</v>
      </c>
      <c r="T12" s="2">
        <v>153</v>
      </c>
      <c r="U12">
        <v>21.131</v>
      </c>
      <c r="V12" t="s">
        <v>120</v>
      </c>
      <c r="W12" t="s">
        <v>121</v>
      </c>
      <c r="X12" s="6">
        <v>44667</v>
      </c>
      <c r="Y12" s="6">
        <v>51501</v>
      </c>
      <c r="AA12">
        <v>5</v>
      </c>
      <c r="AB12" s="4">
        <f t="shared" si="1"/>
        <v>0.05</v>
      </c>
      <c r="AC12">
        <v>50</v>
      </c>
      <c r="AD12" s="4">
        <v>0.25</v>
      </c>
      <c r="AE12" s="2">
        <v>153</v>
      </c>
      <c r="AF12" s="2">
        <v>6.1224999999999996</v>
      </c>
      <c r="AG12" s="2" t="s">
        <v>118</v>
      </c>
      <c r="AH12" s="2" t="s">
        <v>119</v>
      </c>
      <c r="AI12" s="108"/>
      <c r="AJ12" s="108"/>
    </row>
    <row r="13" spans="1:36" x14ac:dyDescent="0.35">
      <c r="A13">
        <v>1</v>
      </c>
      <c r="B13" s="4">
        <v>0.35</v>
      </c>
      <c r="C13">
        <v>350</v>
      </c>
      <c r="D13" s="2">
        <v>153</v>
      </c>
      <c r="E13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P13">
        <v>5</v>
      </c>
      <c r="Q13" s="4">
        <f t="shared" si="0"/>
        <v>0.05</v>
      </c>
      <c r="R13">
        <v>50</v>
      </c>
      <c r="S13" s="4">
        <v>0.25</v>
      </c>
      <c r="T13" s="2">
        <v>153</v>
      </c>
      <c r="U13">
        <v>6.5498000000000003</v>
      </c>
      <c r="V13" t="s">
        <v>122</v>
      </c>
      <c r="W13" t="s">
        <v>123</v>
      </c>
      <c r="X13" s="6">
        <v>44667</v>
      </c>
      <c r="Y13" s="6">
        <v>51501</v>
      </c>
      <c r="AA13">
        <v>6</v>
      </c>
      <c r="AB13" s="4">
        <f t="shared" si="1"/>
        <v>0.03</v>
      </c>
      <c r="AC13">
        <v>30</v>
      </c>
      <c r="AD13" s="4">
        <v>0.18</v>
      </c>
      <c r="AE13" s="2">
        <v>153</v>
      </c>
      <c r="AF13" s="2">
        <v>4.4078999999999997</v>
      </c>
      <c r="AG13" s="2" t="s">
        <v>124</v>
      </c>
      <c r="AH13" s="2" t="s">
        <v>125</v>
      </c>
      <c r="AI13" s="108"/>
      <c r="AJ13" s="108"/>
    </row>
    <row r="14" spans="1:36" x14ac:dyDescent="0.35">
      <c r="A14">
        <v>1</v>
      </c>
      <c r="B14" s="4">
        <v>0.36</v>
      </c>
      <c r="C14">
        <v>360</v>
      </c>
      <c r="D14" s="2">
        <v>153</v>
      </c>
      <c r="E14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P14">
        <v>6</v>
      </c>
      <c r="Q14" s="4">
        <f t="shared" si="0"/>
        <v>0.05</v>
      </c>
      <c r="R14">
        <v>50</v>
      </c>
      <c r="S14" s="4">
        <v>0.3</v>
      </c>
      <c r="T14" s="2">
        <v>153</v>
      </c>
      <c r="U14">
        <v>7.3472</v>
      </c>
      <c r="V14" t="s">
        <v>126</v>
      </c>
      <c r="W14" t="s">
        <v>127</v>
      </c>
      <c r="X14" s="6">
        <v>44667</v>
      </c>
      <c r="Y14" s="6">
        <v>51501</v>
      </c>
      <c r="AA14">
        <v>10</v>
      </c>
      <c r="AB14" s="4">
        <f t="shared" si="1"/>
        <v>0.05</v>
      </c>
      <c r="AC14">
        <v>50</v>
      </c>
      <c r="AD14" s="4">
        <v>0.5</v>
      </c>
      <c r="AE14" s="2">
        <v>153</v>
      </c>
      <c r="AF14" s="2">
        <v>12.244899999999999</v>
      </c>
      <c r="AG14" s="2" t="s">
        <v>128</v>
      </c>
      <c r="AH14" s="2" t="s">
        <v>129</v>
      </c>
      <c r="AI14" s="108"/>
      <c r="AJ14" s="108"/>
    </row>
    <row r="15" spans="1:36" x14ac:dyDescent="0.35">
      <c r="A15">
        <v>1</v>
      </c>
      <c r="B15" s="4">
        <v>0.375</v>
      </c>
      <c r="C15">
        <v>375</v>
      </c>
      <c r="D15" s="2">
        <v>153</v>
      </c>
      <c r="E15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P15">
        <v>10</v>
      </c>
      <c r="Q15" s="4">
        <f t="shared" si="0"/>
        <v>0.02</v>
      </c>
      <c r="R15">
        <v>20</v>
      </c>
      <c r="S15" s="103">
        <v>0.2</v>
      </c>
      <c r="T15" s="2">
        <v>153</v>
      </c>
      <c r="U15">
        <v>4.8977000000000004</v>
      </c>
      <c r="V15" t="s">
        <v>130</v>
      </c>
      <c r="W15" t="s">
        <v>131</v>
      </c>
      <c r="X15" s="6">
        <v>44667</v>
      </c>
      <c r="Y15" s="6">
        <v>51501</v>
      </c>
      <c r="AA15">
        <v>12</v>
      </c>
      <c r="AB15" s="4">
        <f t="shared" si="1"/>
        <v>0.03</v>
      </c>
      <c r="AC15">
        <v>30</v>
      </c>
      <c r="AD15" s="4">
        <v>0.36</v>
      </c>
      <c r="AE15" s="2">
        <v>153</v>
      </c>
      <c r="AF15" s="2">
        <v>8.8156999999999996</v>
      </c>
      <c r="AG15" s="2" t="s">
        <v>134</v>
      </c>
      <c r="AH15" s="2" t="s">
        <v>135</v>
      </c>
      <c r="AI15" s="108"/>
      <c r="AJ15" s="108"/>
    </row>
    <row r="16" spans="1:36" x14ac:dyDescent="0.35">
      <c r="A16">
        <v>1</v>
      </c>
      <c r="B16" s="4">
        <v>0.45</v>
      </c>
      <c r="C16">
        <v>450</v>
      </c>
      <c r="D16" s="2">
        <v>153</v>
      </c>
      <c r="E1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P16">
        <v>10</v>
      </c>
      <c r="Q16" s="4">
        <f t="shared" si="0"/>
        <v>0.05</v>
      </c>
      <c r="R16">
        <v>50</v>
      </c>
      <c r="S16" s="103">
        <v>0.5</v>
      </c>
      <c r="T16" s="2">
        <v>153</v>
      </c>
      <c r="U16">
        <v>12.244899999999999</v>
      </c>
      <c r="V16" t="s">
        <v>132</v>
      </c>
      <c r="W16" t="s">
        <v>133</v>
      </c>
      <c r="X16" s="6">
        <v>44667</v>
      </c>
      <c r="Y16" s="6">
        <v>51501</v>
      </c>
      <c r="AA16">
        <v>24</v>
      </c>
      <c r="AB16" s="4">
        <f t="shared" si="1"/>
        <v>0.03</v>
      </c>
      <c r="AC16">
        <v>30</v>
      </c>
      <c r="AD16" s="4">
        <v>0.72</v>
      </c>
      <c r="AE16" s="2">
        <v>153</v>
      </c>
      <c r="AF16" s="2">
        <v>17.6267</v>
      </c>
      <c r="AG16" s="2" t="s">
        <v>136</v>
      </c>
      <c r="AH16" s="2" t="s">
        <v>137</v>
      </c>
      <c r="AI16" s="108"/>
      <c r="AJ16" s="108"/>
    </row>
    <row r="17" spans="1:36" x14ac:dyDescent="0.35">
      <c r="A17">
        <v>1</v>
      </c>
      <c r="B17" s="4">
        <v>0.48</v>
      </c>
      <c r="C17">
        <v>480</v>
      </c>
      <c r="D17" s="2">
        <v>153</v>
      </c>
      <c r="E17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P17">
        <v>25</v>
      </c>
      <c r="Q17" s="4">
        <f t="shared" si="0"/>
        <v>0.05</v>
      </c>
      <c r="R17">
        <v>50</v>
      </c>
      <c r="S17" s="103">
        <v>1.25</v>
      </c>
      <c r="T17" s="2">
        <v>153</v>
      </c>
      <c r="U17">
        <v>30.611599999999999</v>
      </c>
      <c r="V17" t="s">
        <v>138</v>
      </c>
      <c r="W17" t="s">
        <v>139</v>
      </c>
      <c r="X17" s="6">
        <v>44667</v>
      </c>
      <c r="Y17" s="6">
        <v>51501</v>
      </c>
      <c r="AA17">
        <v>20</v>
      </c>
      <c r="AB17" s="103">
        <v>0.05</v>
      </c>
      <c r="AC17" s="11">
        <v>50</v>
      </c>
      <c r="AD17" s="4">
        <v>1</v>
      </c>
      <c r="AE17" s="2">
        <v>153</v>
      </c>
      <c r="AF17" s="2">
        <v>24.489699999999999</v>
      </c>
      <c r="AG17" s="2" t="s">
        <v>871</v>
      </c>
      <c r="AH17" s="2" t="s">
        <v>870</v>
      </c>
      <c r="AI17" s="108"/>
      <c r="AJ17" s="108"/>
    </row>
    <row r="18" spans="1:36" x14ac:dyDescent="0.35">
      <c r="A18">
        <v>1</v>
      </c>
      <c r="B18" s="4">
        <v>0.5</v>
      </c>
      <c r="C18">
        <v>500</v>
      </c>
      <c r="D18" s="2">
        <v>153</v>
      </c>
      <c r="E18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K18" s="1"/>
      <c r="P18" s="11">
        <v>20</v>
      </c>
      <c r="Q18" s="103">
        <f t="shared" si="0"/>
        <v>0.05</v>
      </c>
      <c r="R18" s="11">
        <v>50</v>
      </c>
      <c r="S18" s="103">
        <v>1</v>
      </c>
      <c r="T18" s="10">
        <v>153</v>
      </c>
      <c r="U18" s="11">
        <v>24.489699999999999</v>
      </c>
      <c r="V18" s="11" t="s">
        <v>871</v>
      </c>
      <c r="W18" s="11" t="s">
        <v>870</v>
      </c>
      <c r="X18" s="109">
        <v>44667</v>
      </c>
      <c r="Y18" s="109">
        <v>51501</v>
      </c>
      <c r="AA18" s="11">
        <v>6</v>
      </c>
      <c r="AB18" s="103">
        <v>0.05</v>
      </c>
      <c r="AC18" s="11">
        <v>50</v>
      </c>
      <c r="AD18" s="4">
        <v>0.3</v>
      </c>
      <c r="AE18" s="2">
        <v>153</v>
      </c>
      <c r="AF18">
        <v>7.3472</v>
      </c>
      <c r="AG18" s="2" t="s">
        <v>126</v>
      </c>
      <c r="AH18" s="2" t="s">
        <v>127</v>
      </c>
      <c r="AI18" s="108"/>
      <c r="AJ18" s="108"/>
    </row>
    <row r="19" spans="1:36" x14ac:dyDescent="0.35">
      <c r="A19">
        <v>1</v>
      </c>
      <c r="B19" s="4">
        <v>0.68</v>
      </c>
      <c r="C19">
        <v>680</v>
      </c>
      <c r="D19" s="2">
        <v>153</v>
      </c>
      <c r="E19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K19"/>
      <c r="AA19">
        <v>2</v>
      </c>
      <c r="AB19">
        <v>0.2</v>
      </c>
      <c r="AC19">
        <v>200</v>
      </c>
      <c r="AD19" s="4">
        <v>0.4</v>
      </c>
      <c r="AE19" s="2">
        <v>153</v>
      </c>
      <c r="AF19" s="2">
        <v>8.4512</v>
      </c>
      <c r="AG19" s="2" t="s">
        <v>90</v>
      </c>
      <c r="AH19" s="2" t="s">
        <v>91</v>
      </c>
      <c r="AI19" s="108"/>
      <c r="AJ19" s="108"/>
    </row>
    <row r="20" spans="1:36" customFormat="1" x14ac:dyDescent="0.35">
      <c r="A20">
        <v>1</v>
      </c>
      <c r="B20" s="4">
        <v>0.7</v>
      </c>
      <c r="C20">
        <v>700</v>
      </c>
      <c r="D20" s="2">
        <v>153</v>
      </c>
      <c r="E20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AA20">
        <v>3</v>
      </c>
      <c r="AB20">
        <v>0.05</v>
      </c>
      <c r="AC20">
        <v>50</v>
      </c>
      <c r="AD20" s="4">
        <v>0.15000000000000002</v>
      </c>
      <c r="AE20">
        <v>153</v>
      </c>
      <c r="AF20">
        <v>3.6736</v>
      </c>
      <c r="AG20" t="s">
        <v>104</v>
      </c>
      <c r="AH20" t="s">
        <v>105</v>
      </c>
      <c r="AI20" s="6"/>
      <c r="AJ20" s="6"/>
    </row>
    <row r="21" spans="1:36" customFormat="1" x14ac:dyDescent="0.35">
      <c r="A21">
        <v>1</v>
      </c>
      <c r="B21" s="4">
        <v>0.71</v>
      </c>
      <c r="C21">
        <v>710</v>
      </c>
      <c r="D21" s="2">
        <v>153</v>
      </c>
      <c r="E21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AA21">
        <v>25</v>
      </c>
      <c r="AB21">
        <v>0.05</v>
      </c>
      <c r="AC21">
        <v>50</v>
      </c>
      <c r="AD21" s="4">
        <v>1.25</v>
      </c>
      <c r="AE21">
        <v>153</v>
      </c>
      <c r="AF21">
        <v>30.611599999999999</v>
      </c>
      <c r="AG21" t="s">
        <v>138</v>
      </c>
      <c r="AH21" t="s">
        <v>139</v>
      </c>
      <c r="AI21" s="6"/>
      <c r="AJ21" s="6"/>
    </row>
    <row r="22" spans="1:36" customFormat="1" x14ac:dyDescent="0.35">
      <c r="A22">
        <v>1</v>
      </c>
      <c r="B22" s="4">
        <v>0.72</v>
      </c>
      <c r="C22">
        <v>720</v>
      </c>
      <c r="D22" s="2">
        <v>153</v>
      </c>
      <c r="E22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AA22" s="2"/>
      <c r="AB22" s="2"/>
      <c r="AC22" s="2"/>
    </row>
    <row r="23" spans="1:36" customFormat="1" x14ac:dyDescent="0.35">
      <c r="A23">
        <v>1</v>
      </c>
      <c r="B23" s="4">
        <v>0.73</v>
      </c>
      <c r="C23">
        <v>730</v>
      </c>
      <c r="D23" s="2">
        <v>153</v>
      </c>
      <c r="E23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</row>
    <row r="24" spans="1:36" customFormat="1" x14ac:dyDescent="0.35">
      <c r="A24">
        <v>1</v>
      </c>
      <c r="B24" s="4">
        <v>0.75</v>
      </c>
      <c r="C24">
        <v>750</v>
      </c>
      <c r="D24" s="2">
        <v>153</v>
      </c>
      <c r="E24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AA24" s="2"/>
      <c r="AB24" s="2"/>
      <c r="AC24" s="2"/>
      <c r="AD24" s="2"/>
      <c r="AE24" s="2"/>
      <c r="AF24" s="2"/>
      <c r="AG24" s="2"/>
      <c r="AH24" s="2"/>
    </row>
    <row r="25" spans="1:36" customFormat="1" x14ac:dyDescent="0.35">
      <c r="A25">
        <v>1</v>
      </c>
      <c r="B25" s="4">
        <v>1</v>
      </c>
      <c r="C25">
        <v>1000</v>
      </c>
      <c r="D25" s="2">
        <v>153</v>
      </c>
      <c r="E25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AA25" s="2"/>
      <c r="AB25" s="2"/>
      <c r="AC25" s="2"/>
      <c r="AD25" s="2"/>
      <c r="AE25" s="2"/>
      <c r="AF25" s="2"/>
      <c r="AG25" s="2"/>
      <c r="AH25" s="2"/>
    </row>
    <row r="26" spans="1:36" customFormat="1" x14ac:dyDescent="0.35">
      <c r="A26">
        <v>1</v>
      </c>
      <c r="B26" s="4">
        <v>1.1399999999999999</v>
      </c>
      <c r="C26">
        <v>1140</v>
      </c>
      <c r="D26" s="2">
        <v>153</v>
      </c>
      <c r="E2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AA26" s="2"/>
      <c r="AB26" s="2"/>
      <c r="AC26" s="2"/>
      <c r="AD26" s="2"/>
      <c r="AE26" s="2"/>
      <c r="AF26" s="2"/>
      <c r="AG26" s="2"/>
      <c r="AH26" s="2"/>
    </row>
    <row r="27" spans="1:36" customFormat="1" x14ac:dyDescent="0.35">
      <c r="A27">
        <v>1</v>
      </c>
      <c r="B27" s="4">
        <v>1.5</v>
      </c>
      <c r="C27">
        <v>1500</v>
      </c>
      <c r="D27" s="2">
        <v>153</v>
      </c>
      <c r="E27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AA27" s="2"/>
      <c r="AB27" s="2"/>
      <c r="AC27" s="2"/>
      <c r="AD27" s="2"/>
      <c r="AE27" s="2"/>
      <c r="AF27" s="2"/>
      <c r="AG27" s="2"/>
      <c r="AH27" s="2"/>
    </row>
    <row r="28" spans="1:36" customFormat="1" x14ac:dyDescent="0.35">
      <c r="A28">
        <v>1</v>
      </c>
      <c r="B28" s="4">
        <v>1.75</v>
      </c>
      <c r="C28">
        <v>1750</v>
      </c>
      <c r="D28" s="2">
        <v>153</v>
      </c>
      <c r="E28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AA28" s="2"/>
      <c r="AB28" s="2"/>
      <c r="AC28" s="2"/>
      <c r="AD28" s="2"/>
      <c r="AE28" s="2"/>
      <c r="AF28" s="2"/>
      <c r="AG28" s="2"/>
      <c r="AH28" s="2"/>
    </row>
    <row r="29" spans="1:36" customFormat="1" x14ac:dyDescent="0.35">
      <c r="A29">
        <v>1</v>
      </c>
      <c r="B29" s="4">
        <v>2</v>
      </c>
      <c r="C29">
        <v>2000</v>
      </c>
      <c r="D29" s="2">
        <v>153</v>
      </c>
      <c r="E29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AA29" s="2"/>
      <c r="AB29" s="2"/>
      <c r="AC29" s="2"/>
      <c r="AD29" s="2"/>
      <c r="AE29" s="2"/>
      <c r="AF29" s="2"/>
      <c r="AG29" s="2"/>
      <c r="AH29" s="2"/>
    </row>
    <row r="30" spans="1:36" customFormat="1" x14ac:dyDescent="0.35">
      <c r="A30">
        <v>1</v>
      </c>
      <c r="B30" s="4">
        <v>2</v>
      </c>
      <c r="C30">
        <v>2000</v>
      </c>
      <c r="D30" s="2">
        <v>153</v>
      </c>
      <c r="E30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AA30" s="2"/>
      <c r="AB30" s="2"/>
      <c r="AC30" s="2"/>
      <c r="AD30" s="2"/>
      <c r="AE30" s="2"/>
      <c r="AF30" s="2"/>
      <c r="AG30" s="2"/>
      <c r="AH30" s="2"/>
    </row>
    <row r="31" spans="1:36" customFormat="1" x14ac:dyDescent="0.35">
      <c r="A31">
        <v>1</v>
      </c>
      <c r="B31" s="4">
        <v>2.5</v>
      </c>
      <c r="C31">
        <v>2500</v>
      </c>
      <c r="D31" s="2">
        <v>153</v>
      </c>
      <c r="E31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AA31" s="2"/>
      <c r="AB31" s="2"/>
      <c r="AC31" s="2"/>
      <c r="AD31" s="2"/>
      <c r="AE31" s="2"/>
      <c r="AF31" s="2"/>
      <c r="AG31" s="2"/>
      <c r="AH31" s="2"/>
    </row>
    <row r="32" spans="1:36" customFormat="1" x14ac:dyDescent="0.35">
      <c r="A32">
        <v>1</v>
      </c>
      <c r="B32" s="4">
        <v>3</v>
      </c>
      <c r="C32">
        <v>3000</v>
      </c>
      <c r="D32" s="2">
        <v>153</v>
      </c>
      <c r="E32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AA32" s="2"/>
      <c r="AB32" s="2"/>
      <c r="AC32" s="2"/>
      <c r="AD32" s="2"/>
      <c r="AE32" s="2"/>
      <c r="AF32" s="2"/>
      <c r="AG32" s="2"/>
      <c r="AH32" s="2"/>
      <c r="AI32" s="2"/>
    </row>
    <row r="33" spans="1:35" customFormat="1" x14ac:dyDescent="0.35">
      <c r="A33">
        <v>1</v>
      </c>
      <c r="B33" s="4">
        <v>3.75</v>
      </c>
      <c r="C33">
        <v>3750</v>
      </c>
      <c r="D33" s="2">
        <v>153</v>
      </c>
      <c r="E33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AA33" s="2"/>
      <c r="AB33" s="2"/>
      <c r="AC33" s="2"/>
      <c r="AD33" s="2"/>
      <c r="AE33" s="2"/>
      <c r="AF33" s="2"/>
      <c r="AG33" s="2"/>
      <c r="AH33" s="2"/>
      <c r="AI33" s="2"/>
    </row>
    <row r="34" spans="1:35" customFormat="1" x14ac:dyDescent="0.35">
      <c r="A34">
        <v>1</v>
      </c>
      <c r="B34" s="4">
        <v>3.78</v>
      </c>
      <c r="C34">
        <v>3780</v>
      </c>
      <c r="D34" s="2">
        <v>153</v>
      </c>
      <c r="E34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AA34" s="2"/>
      <c r="AB34" s="2"/>
      <c r="AC34" s="2"/>
      <c r="AD34" s="2"/>
      <c r="AE34" s="2"/>
      <c r="AF34" s="2"/>
      <c r="AG34" s="2"/>
      <c r="AH34" s="2"/>
      <c r="AI34" s="2"/>
    </row>
    <row r="35" spans="1:35" customFormat="1" x14ac:dyDescent="0.35">
      <c r="A35">
        <v>1</v>
      </c>
      <c r="B35" s="4">
        <v>3.7850000000000001</v>
      </c>
      <c r="C35">
        <v>3785</v>
      </c>
      <c r="D35" s="2">
        <v>153</v>
      </c>
      <c r="E35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AA35" s="2"/>
      <c r="AB35" s="2"/>
      <c r="AC35" s="2"/>
      <c r="AD35" s="2"/>
      <c r="AE35" s="2"/>
      <c r="AF35" s="2"/>
      <c r="AG35" s="2"/>
      <c r="AH35" s="2"/>
      <c r="AI35" s="2"/>
    </row>
    <row r="36" spans="1:35" customFormat="1" x14ac:dyDescent="0.35">
      <c r="A36">
        <v>1</v>
      </c>
      <c r="B36" s="4">
        <v>3.786</v>
      </c>
      <c r="C36">
        <v>3786</v>
      </c>
      <c r="D36" s="2">
        <v>153</v>
      </c>
      <c r="E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AA36" s="2"/>
      <c r="AB36" s="2"/>
      <c r="AC36" s="2"/>
      <c r="AD36" s="2"/>
      <c r="AE36" s="2"/>
      <c r="AF36" s="2"/>
      <c r="AG36" s="2"/>
      <c r="AH36" s="2"/>
      <c r="AI36" s="2"/>
    </row>
    <row r="37" spans="1:35" customFormat="1" x14ac:dyDescent="0.35">
      <c r="A37">
        <v>1</v>
      </c>
      <c r="B37" s="4">
        <v>3.79</v>
      </c>
      <c r="C37">
        <v>3790</v>
      </c>
      <c r="D37" s="2">
        <v>153</v>
      </c>
      <c r="E37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AA37" s="2"/>
      <c r="AB37" s="2"/>
      <c r="AC37" s="2"/>
      <c r="AD37" s="2"/>
      <c r="AE37" s="2"/>
      <c r="AF37" s="2"/>
      <c r="AG37" s="2"/>
      <c r="AH37" s="2"/>
      <c r="AI37" s="2"/>
    </row>
    <row r="38" spans="1:35" customFormat="1" x14ac:dyDescent="0.35">
      <c r="A38">
        <v>1</v>
      </c>
      <c r="B38" s="4">
        <v>4</v>
      </c>
      <c r="C38">
        <v>4000</v>
      </c>
      <c r="D38" s="2">
        <v>153</v>
      </c>
      <c r="E38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AA38" s="2"/>
      <c r="AB38" s="2"/>
      <c r="AC38" s="2"/>
      <c r="AD38" s="2"/>
      <c r="AE38" s="2"/>
      <c r="AF38" s="2"/>
      <c r="AG38" s="2"/>
      <c r="AH38" s="2"/>
      <c r="AI38" s="2"/>
    </row>
    <row r="39" spans="1:35" customFormat="1" x14ac:dyDescent="0.35">
      <c r="A39">
        <v>1</v>
      </c>
      <c r="B39" s="4">
        <v>4.5</v>
      </c>
      <c r="C39">
        <v>4500</v>
      </c>
      <c r="D39" s="2">
        <v>153</v>
      </c>
      <c r="E39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35">
      <c r="A40">
        <v>1</v>
      </c>
      <c r="B40" s="4">
        <v>5</v>
      </c>
      <c r="C40">
        <v>5000</v>
      </c>
      <c r="D40" s="2">
        <v>153</v>
      </c>
      <c r="E40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K40"/>
    </row>
    <row r="41" spans="1:35" x14ac:dyDescent="0.35">
      <c r="A41">
        <v>1</v>
      </c>
      <c r="B41" s="4">
        <v>0.2</v>
      </c>
      <c r="C41">
        <v>200</v>
      </c>
      <c r="D41">
        <v>153</v>
      </c>
      <c r="E41">
        <v>4.2262000000000004</v>
      </c>
      <c r="F41" t="s">
        <v>881</v>
      </c>
      <c r="G41" t="s">
        <v>882</v>
      </c>
      <c r="H41" s="6">
        <v>44667</v>
      </c>
      <c r="I41" s="6">
        <v>51501</v>
      </c>
      <c r="J41" s="3"/>
      <c r="K41"/>
    </row>
    <row r="42" spans="1:35" x14ac:dyDescent="0.35">
      <c r="A42">
        <v>1</v>
      </c>
      <c r="B42" s="4">
        <v>0.25</v>
      </c>
      <c r="C42">
        <v>250</v>
      </c>
      <c r="D42">
        <v>153</v>
      </c>
      <c r="E42">
        <v>5.2827000000000002</v>
      </c>
      <c r="F42" t="s">
        <v>883</v>
      </c>
      <c r="G42" t="s">
        <v>884</v>
      </c>
      <c r="H42" s="6">
        <v>44667</v>
      </c>
      <c r="I42" s="6">
        <v>51501</v>
      </c>
      <c r="J42" s="3"/>
    </row>
    <row r="43" spans="1:35" x14ac:dyDescent="0.35">
      <c r="A43">
        <v>1</v>
      </c>
      <c r="B43" s="4">
        <v>0.35</v>
      </c>
      <c r="C43">
        <v>350</v>
      </c>
      <c r="D43">
        <v>153</v>
      </c>
      <c r="E43">
        <v>7.2454000000000001</v>
      </c>
      <c r="F43" t="s">
        <v>885</v>
      </c>
      <c r="G43" t="s">
        <v>886</v>
      </c>
      <c r="H43" s="6">
        <v>44667</v>
      </c>
      <c r="I43" s="6">
        <v>51501</v>
      </c>
      <c r="J43" s="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99FF"/>
  </sheetPr>
  <dimension ref="A1:Z84"/>
  <sheetViews>
    <sheetView workbookViewId="0">
      <selection activeCell="N11" sqref="N11"/>
    </sheetView>
  </sheetViews>
  <sheetFormatPr defaultColWidth="9.1796875" defaultRowHeight="14.5" x14ac:dyDescent="0.35"/>
  <cols>
    <col min="1" max="6" width="9.1796875" style="2"/>
    <col min="7" max="7" width="18.81640625" style="2" bestFit="1" customWidth="1"/>
    <col min="8" max="8" width="13.54296875" style="2" bestFit="1" customWidth="1"/>
    <col min="9" max="9" width="11" style="2" bestFit="1" customWidth="1"/>
    <col min="10" max="10" width="1.7265625" style="2" customWidth="1"/>
    <col min="11" max="21" width="9.1796875" style="2"/>
    <col min="22" max="22" width="13.54296875" style="2" customWidth="1"/>
    <col min="23" max="24" width="10.7265625" style="2" bestFit="1" customWidth="1"/>
    <col min="25" max="16384" width="9.1796875" style="2"/>
  </cols>
  <sheetData>
    <row r="1" spans="1:26" x14ac:dyDescent="0.35">
      <c r="A1" s="1" t="s">
        <v>0</v>
      </c>
      <c r="L1" s="2" t="s">
        <v>861</v>
      </c>
    </row>
    <row r="2" spans="1:26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858</v>
      </c>
      <c r="M2" s="2" t="s">
        <v>859</v>
      </c>
      <c r="N2" s="2" t="s">
        <v>860</v>
      </c>
      <c r="P2" s="2" t="s">
        <v>222</v>
      </c>
    </row>
    <row r="3" spans="1:26" x14ac:dyDescent="0.35">
      <c r="A3">
        <v>1</v>
      </c>
      <c r="B3" s="4">
        <v>0.1</v>
      </c>
      <c r="C3">
        <v>100</v>
      </c>
      <c r="D3" s="2">
        <v>95</v>
      </c>
      <c r="E3" s="104">
        <v>0.36620000000000003</v>
      </c>
      <c r="F3" s="5" t="s">
        <v>140</v>
      </c>
      <c r="G3" t="s">
        <v>141</v>
      </c>
      <c r="H3" s="6">
        <v>44667</v>
      </c>
      <c r="I3" s="6">
        <v>51501</v>
      </c>
      <c r="J3" s="9"/>
      <c r="L3" s="2">
        <v>1</v>
      </c>
      <c r="M3" s="2">
        <v>42.11</v>
      </c>
      <c r="N3" s="2">
        <v>1.5458000000000001</v>
      </c>
      <c r="P3"/>
      <c r="Q3" s="4"/>
      <c r="R3"/>
      <c r="S3" s="4"/>
      <c r="T3"/>
      <c r="U3" s="5"/>
      <c r="V3"/>
      <c r="W3" s="6"/>
      <c r="X3" s="6"/>
      <c r="Z3" s="4"/>
    </row>
    <row r="4" spans="1:26" x14ac:dyDescent="0.35">
      <c r="A4">
        <v>1</v>
      </c>
      <c r="B4" s="4">
        <v>1</v>
      </c>
      <c r="C4">
        <v>1000</v>
      </c>
      <c r="D4" s="2">
        <v>95</v>
      </c>
      <c r="E4" s="104">
        <v>3.6709000000000001</v>
      </c>
      <c r="F4" s="5" t="s">
        <v>142</v>
      </c>
      <c r="G4" t="s">
        <v>143</v>
      </c>
      <c r="H4" s="6">
        <v>44667</v>
      </c>
      <c r="I4" s="6">
        <v>51501</v>
      </c>
      <c r="J4" s="9"/>
      <c r="P4">
        <v>2</v>
      </c>
      <c r="Q4" s="4">
        <f t="shared" ref="Q4:Q9" si="0">R4/1000</f>
        <v>0.1875</v>
      </c>
      <c r="R4">
        <v>187.5</v>
      </c>
      <c r="S4" s="4">
        <v>0.375</v>
      </c>
      <c r="T4">
        <v>1.9046000000000001</v>
      </c>
      <c r="U4" s="5" t="s">
        <v>223</v>
      </c>
      <c r="V4" t="s">
        <v>224</v>
      </c>
      <c r="W4" s="6">
        <v>44667</v>
      </c>
      <c r="X4" s="6">
        <v>51501</v>
      </c>
      <c r="Z4" s="4"/>
    </row>
    <row r="5" spans="1:26" x14ac:dyDescent="0.35">
      <c r="A5">
        <v>1</v>
      </c>
      <c r="B5" s="4">
        <v>10</v>
      </c>
      <c r="C5">
        <v>10000</v>
      </c>
      <c r="D5" s="2">
        <v>95</v>
      </c>
      <c r="E5" s="104">
        <v>26.5379</v>
      </c>
      <c r="F5" s="5" t="s">
        <v>144</v>
      </c>
      <c r="G5" t="s">
        <v>145</v>
      </c>
      <c r="H5" s="6">
        <v>44667</v>
      </c>
      <c r="I5" s="6">
        <v>51501</v>
      </c>
      <c r="J5" s="9"/>
      <c r="P5">
        <v>2</v>
      </c>
      <c r="Q5" s="4">
        <f t="shared" si="0"/>
        <v>0.2</v>
      </c>
      <c r="R5">
        <v>200</v>
      </c>
      <c r="S5" s="4">
        <v>0.4</v>
      </c>
      <c r="T5">
        <v>2.0390000000000001</v>
      </c>
      <c r="U5" s="5" t="s">
        <v>225</v>
      </c>
      <c r="V5" t="s">
        <v>226</v>
      </c>
      <c r="W5" s="6">
        <v>44667</v>
      </c>
      <c r="X5" s="6">
        <v>51501</v>
      </c>
      <c r="Z5" s="4"/>
    </row>
    <row r="6" spans="1:26" x14ac:dyDescent="0.35">
      <c r="A6">
        <v>1</v>
      </c>
      <c r="B6" s="4">
        <v>12</v>
      </c>
      <c r="C6">
        <v>12000</v>
      </c>
      <c r="D6" s="2">
        <v>95</v>
      </c>
      <c r="E6" s="104">
        <v>31.8445</v>
      </c>
      <c r="F6" s="5" t="s">
        <v>146</v>
      </c>
      <c r="G6" t="s">
        <v>147</v>
      </c>
      <c r="H6" s="6">
        <v>44667</v>
      </c>
      <c r="I6" s="6">
        <v>51501</v>
      </c>
      <c r="J6" s="9"/>
      <c r="P6">
        <v>2</v>
      </c>
      <c r="Q6" s="4">
        <f t="shared" si="0"/>
        <v>0.375</v>
      </c>
      <c r="R6">
        <v>375</v>
      </c>
      <c r="S6" s="4">
        <v>0.75</v>
      </c>
      <c r="T6">
        <v>3.8170000000000002</v>
      </c>
      <c r="U6" s="5" t="s">
        <v>227</v>
      </c>
      <c r="V6" t="s">
        <v>228</v>
      </c>
      <c r="W6" s="6">
        <v>44667</v>
      </c>
      <c r="X6" s="6">
        <v>51501</v>
      </c>
      <c r="Z6" s="4"/>
    </row>
    <row r="7" spans="1:26" x14ac:dyDescent="0.35">
      <c r="A7">
        <v>1</v>
      </c>
      <c r="B7" s="4">
        <v>1.5</v>
      </c>
      <c r="C7">
        <v>1500</v>
      </c>
      <c r="D7" s="2">
        <v>95</v>
      </c>
      <c r="E7" s="104">
        <v>5.3376999999999999</v>
      </c>
      <c r="F7" s="5" t="s">
        <v>148</v>
      </c>
      <c r="G7" t="s">
        <v>149</v>
      </c>
      <c r="H7" s="6">
        <v>44667</v>
      </c>
      <c r="I7" s="6">
        <v>51501</v>
      </c>
      <c r="J7" s="9"/>
      <c r="P7">
        <v>2</v>
      </c>
      <c r="Q7" s="4">
        <f t="shared" si="0"/>
        <v>4.5</v>
      </c>
      <c r="R7">
        <v>4500</v>
      </c>
      <c r="S7" s="4">
        <v>9</v>
      </c>
      <c r="T7">
        <v>23.882999999999999</v>
      </c>
      <c r="U7" s="5" t="s">
        <v>229</v>
      </c>
      <c r="V7" t="s">
        <v>230</v>
      </c>
      <c r="W7" s="6">
        <v>44667</v>
      </c>
      <c r="X7" s="6">
        <v>51501</v>
      </c>
      <c r="Z7" s="4"/>
    </row>
    <row r="8" spans="1:26" x14ac:dyDescent="0.35">
      <c r="A8">
        <v>1</v>
      </c>
      <c r="B8" s="4">
        <v>15</v>
      </c>
      <c r="C8">
        <v>15000</v>
      </c>
      <c r="D8" s="2">
        <v>95</v>
      </c>
      <c r="E8" s="104">
        <v>40.365099999999998</v>
      </c>
      <c r="F8" s="5" t="s">
        <v>150</v>
      </c>
      <c r="G8" t="s">
        <v>151</v>
      </c>
      <c r="H8" s="6">
        <v>44667</v>
      </c>
      <c r="I8" s="6">
        <v>51501</v>
      </c>
      <c r="J8" s="9"/>
      <c r="P8">
        <v>2</v>
      </c>
      <c r="Q8" s="4">
        <f t="shared" si="0"/>
        <v>0.75</v>
      </c>
      <c r="R8">
        <v>750</v>
      </c>
      <c r="S8" s="4">
        <v>1.5</v>
      </c>
      <c r="T8">
        <v>6.4146999999999998</v>
      </c>
      <c r="U8" s="5" t="s">
        <v>231</v>
      </c>
      <c r="V8" t="s">
        <v>232</v>
      </c>
      <c r="W8" s="6">
        <v>44667</v>
      </c>
      <c r="X8" s="6">
        <v>51501</v>
      </c>
      <c r="Z8" s="4"/>
    </row>
    <row r="9" spans="1:26" x14ac:dyDescent="0.35">
      <c r="A9">
        <v>1</v>
      </c>
      <c r="B9" s="4">
        <v>16</v>
      </c>
      <c r="C9">
        <v>16000</v>
      </c>
      <c r="D9" s="2">
        <v>95</v>
      </c>
      <c r="E9" s="104">
        <v>43.056100000000001</v>
      </c>
      <c r="F9" s="5" t="s">
        <v>152</v>
      </c>
      <c r="G9" t="s">
        <v>153</v>
      </c>
      <c r="H9" s="6">
        <v>44667</v>
      </c>
      <c r="I9" s="6">
        <v>51501</v>
      </c>
      <c r="J9" s="9"/>
      <c r="P9">
        <v>3</v>
      </c>
      <c r="Q9" s="4">
        <f t="shared" si="0"/>
        <v>0.2</v>
      </c>
      <c r="R9">
        <v>200</v>
      </c>
      <c r="S9" s="4">
        <v>0.6</v>
      </c>
      <c r="T9">
        <v>3.0453999999999999</v>
      </c>
      <c r="U9" s="5" t="s">
        <v>233</v>
      </c>
      <c r="V9" t="s">
        <v>234</v>
      </c>
      <c r="W9" s="6">
        <v>44667</v>
      </c>
      <c r="X9" s="6">
        <v>51501</v>
      </c>
      <c r="Z9" s="4"/>
    </row>
    <row r="10" spans="1:26" x14ac:dyDescent="0.35">
      <c r="A10">
        <v>1</v>
      </c>
      <c r="B10" s="4">
        <v>1.75</v>
      </c>
      <c r="C10">
        <v>1750</v>
      </c>
      <c r="D10" s="2">
        <v>95</v>
      </c>
      <c r="E10" s="104">
        <v>6.2270000000000003</v>
      </c>
      <c r="F10" s="5" t="s">
        <v>154</v>
      </c>
      <c r="G10" t="s">
        <v>155</v>
      </c>
      <c r="H10" s="6">
        <v>44667</v>
      </c>
      <c r="I10" s="6">
        <v>51501</v>
      </c>
      <c r="J10" s="9"/>
      <c r="P10">
        <v>3</v>
      </c>
      <c r="Q10" s="4">
        <f t="shared" ref="Q10:Q21" si="1">R10/1000</f>
        <v>0.375</v>
      </c>
      <c r="R10">
        <v>375</v>
      </c>
      <c r="S10" s="4">
        <v>1.125</v>
      </c>
      <c r="T10">
        <v>5.7259000000000002</v>
      </c>
      <c r="U10" s="5" t="s">
        <v>235</v>
      </c>
      <c r="V10" t="s">
        <v>236</v>
      </c>
      <c r="W10" s="6">
        <v>44667</v>
      </c>
      <c r="X10" s="6">
        <v>51501</v>
      </c>
      <c r="Z10" s="4"/>
    </row>
    <row r="11" spans="1:26" x14ac:dyDescent="0.35">
      <c r="A11">
        <v>1</v>
      </c>
      <c r="B11" s="4">
        <v>1.8</v>
      </c>
      <c r="C11">
        <v>1800</v>
      </c>
      <c r="D11" s="2">
        <v>95</v>
      </c>
      <c r="E11" s="104">
        <v>6.4051</v>
      </c>
      <c r="F11" s="5" t="s">
        <v>156</v>
      </c>
      <c r="G11" t="s">
        <v>157</v>
      </c>
      <c r="H11" s="6">
        <v>44667</v>
      </c>
      <c r="I11" s="6">
        <v>51501</v>
      </c>
      <c r="J11" s="9"/>
      <c r="P11">
        <v>3</v>
      </c>
      <c r="Q11" s="4">
        <f t="shared" si="1"/>
        <v>0.05</v>
      </c>
      <c r="R11">
        <v>50</v>
      </c>
      <c r="S11" s="4">
        <v>0.15000000000000002</v>
      </c>
      <c r="T11">
        <v>0.76219999999999999</v>
      </c>
      <c r="U11" s="5" t="s">
        <v>237</v>
      </c>
      <c r="V11" t="s">
        <v>238</v>
      </c>
      <c r="W11" s="6">
        <v>44667</v>
      </c>
      <c r="X11" s="6">
        <v>51501</v>
      </c>
      <c r="Z11" s="4"/>
    </row>
    <row r="12" spans="1:26" x14ac:dyDescent="0.35">
      <c r="A12">
        <v>1</v>
      </c>
      <c r="B12" s="4">
        <v>18</v>
      </c>
      <c r="C12">
        <v>18000</v>
      </c>
      <c r="D12" s="2">
        <v>95</v>
      </c>
      <c r="E12" s="104">
        <v>48.438299999999998</v>
      </c>
      <c r="F12" s="5" t="s">
        <v>158</v>
      </c>
      <c r="G12" t="s">
        <v>159</v>
      </c>
      <c r="H12" s="6">
        <v>44667</v>
      </c>
      <c r="I12" s="6">
        <v>51501</v>
      </c>
      <c r="J12" s="9"/>
      <c r="P12">
        <v>3</v>
      </c>
      <c r="Q12" s="4">
        <f t="shared" si="1"/>
        <v>0.75</v>
      </c>
      <c r="R12">
        <v>750</v>
      </c>
      <c r="S12" s="4">
        <v>2.25</v>
      </c>
      <c r="T12">
        <v>9.6220999999999997</v>
      </c>
      <c r="U12" s="5" t="s">
        <v>239</v>
      </c>
      <c r="V12" t="s">
        <v>240</v>
      </c>
      <c r="W12" s="6">
        <v>44667</v>
      </c>
      <c r="X12" s="6">
        <v>51501</v>
      </c>
      <c r="Z12" s="4"/>
    </row>
    <row r="13" spans="1:26" x14ac:dyDescent="0.35">
      <c r="A13">
        <v>1</v>
      </c>
      <c r="B13" s="4">
        <v>0.187</v>
      </c>
      <c r="C13">
        <v>187</v>
      </c>
      <c r="D13" s="2">
        <v>95</v>
      </c>
      <c r="E13" s="104">
        <v>0.95209999999999995</v>
      </c>
      <c r="F13" s="5" t="s">
        <v>160</v>
      </c>
      <c r="G13" t="s">
        <v>161</v>
      </c>
      <c r="H13" s="6">
        <v>44667</v>
      </c>
      <c r="I13" s="6">
        <v>51501</v>
      </c>
      <c r="J13" s="9"/>
      <c r="P13">
        <v>4</v>
      </c>
      <c r="Q13" s="4">
        <f t="shared" si="1"/>
        <v>0.187</v>
      </c>
      <c r="R13">
        <v>187</v>
      </c>
      <c r="S13" s="4">
        <v>0.748</v>
      </c>
      <c r="T13">
        <v>3.8090999999999999</v>
      </c>
      <c r="U13" s="5" t="s">
        <v>241</v>
      </c>
      <c r="V13" t="s">
        <v>242</v>
      </c>
      <c r="W13" s="6">
        <v>44667</v>
      </c>
      <c r="X13" s="6">
        <v>51501</v>
      </c>
      <c r="Z13" s="4"/>
    </row>
    <row r="14" spans="1:26" x14ac:dyDescent="0.35">
      <c r="A14">
        <v>1</v>
      </c>
      <c r="B14" s="4">
        <v>0.1875</v>
      </c>
      <c r="C14">
        <v>187.5</v>
      </c>
      <c r="D14" s="2">
        <v>95</v>
      </c>
      <c r="E14" s="104">
        <v>0.95450000000000002</v>
      </c>
      <c r="F14" s="5" t="s">
        <v>162</v>
      </c>
      <c r="G14" t="s">
        <v>163</v>
      </c>
      <c r="H14" s="6">
        <v>44667</v>
      </c>
      <c r="I14" s="6">
        <v>51501</v>
      </c>
      <c r="J14" s="9"/>
      <c r="P14">
        <v>4</v>
      </c>
      <c r="Q14" s="4">
        <f t="shared" si="1"/>
        <v>0.2</v>
      </c>
      <c r="R14">
        <v>200</v>
      </c>
      <c r="S14" s="4">
        <v>0.8</v>
      </c>
      <c r="T14">
        <v>4.0782999999999996</v>
      </c>
      <c r="U14" s="5" t="s">
        <v>243</v>
      </c>
      <c r="V14" t="s">
        <v>244</v>
      </c>
      <c r="W14" s="6">
        <v>44667</v>
      </c>
      <c r="X14" s="6">
        <v>51501</v>
      </c>
      <c r="Z14" s="4"/>
    </row>
    <row r="15" spans="1:26" x14ac:dyDescent="0.35">
      <c r="A15">
        <v>1</v>
      </c>
      <c r="B15" s="4">
        <v>19</v>
      </c>
      <c r="C15">
        <v>19000</v>
      </c>
      <c r="D15" s="2">
        <v>95</v>
      </c>
      <c r="E15" s="104">
        <v>50.095300000000002</v>
      </c>
      <c r="F15" s="5" t="s">
        <v>164</v>
      </c>
      <c r="G15" t="s">
        <v>165</v>
      </c>
      <c r="H15" s="6">
        <v>44667</v>
      </c>
      <c r="I15" s="6">
        <v>51501</v>
      </c>
      <c r="J15" s="9"/>
      <c r="P15">
        <v>4</v>
      </c>
      <c r="Q15" s="4">
        <f t="shared" si="1"/>
        <v>0.25</v>
      </c>
      <c r="R15">
        <v>250</v>
      </c>
      <c r="S15" s="4">
        <v>1</v>
      </c>
      <c r="T15">
        <v>5.0911</v>
      </c>
      <c r="U15" s="5" t="s">
        <v>245</v>
      </c>
      <c r="V15" t="s">
        <v>246</v>
      </c>
      <c r="W15" s="6">
        <v>44667</v>
      </c>
      <c r="X15" s="6">
        <v>51501</v>
      </c>
      <c r="Z15" s="4"/>
    </row>
    <row r="16" spans="1:26" x14ac:dyDescent="0.35">
      <c r="A16">
        <v>1</v>
      </c>
      <c r="B16" s="4">
        <v>19.5</v>
      </c>
      <c r="C16">
        <v>19500</v>
      </c>
      <c r="D16" s="2">
        <v>95</v>
      </c>
      <c r="E16" s="104">
        <v>52.4572</v>
      </c>
      <c r="F16" s="5" t="s">
        <v>166</v>
      </c>
      <c r="G16" t="s">
        <v>167</v>
      </c>
      <c r="H16" s="6">
        <v>44667</v>
      </c>
      <c r="I16" s="6">
        <v>51501</v>
      </c>
      <c r="J16" s="9"/>
      <c r="P16">
        <v>4</v>
      </c>
      <c r="Q16" s="4">
        <f t="shared" si="1"/>
        <v>0.5</v>
      </c>
      <c r="R16">
        <v>500</v>
      </c>
      <c r="S16" s="4">
        <v>2</v>
      </c>
      <c r="T16">
        <v>10.1881</v>
      </c>
      <c r="U16" s="5" t="s">
        <v>247</v>
      </c>
      <c r="V16" t="s">
        <v>248</v>
      </c>
      <c r="W16" s="6">
        <v>44667</v>
      </c>
      <c r="X16" s="6">
        <v>51501</v>
      </c>
      <c r="Z16" s="4"/>
    </row>
    <row r="17" spans="1:26" x14ac:dyDescent="0.35">
      <c r="A17">
        <v>1</v>
      </c>
      <c r="B17" s="4">
        <v>0.2</v>
      </c>
      <c r="C17">
        <v>200</v>
      </c>
      <c r="D17" s="2">
        <v>95</v>
      </c>
      <c r="E17" s="104">
        <v>1.0196000000000001</v>
      </c>
      <c r="F17" s="5" t="s">
        <v>168</v>
      </c>
      <c r="G17" t="s">
        <v>169</v>
      </c>
      <c r="H17" s="6">
        <v>44667</v>
      </c>
      <c r="I17" s="6">
        <v>51501</v>
      </c>
      <c r="J17" s="9"/>
      <c r="P17">
        <v>6</v>
      </c>
      <c r="Q17" s="4">
        <f t="shared" si="1"/>
        <v>0.187</v>
      </c>
      <c r="R17">
        <v>187</v>
      </c>
      <c r="S17" s="4">
        <v>1.1219999999999999</v>
      </c>
      <c r="T17">
        <v>5.7138</v>
      </c>
      <c r="U17" s="5" t="s">
        <v>249</v>
      </c>
      <c r="V17" t="s">
        <v>250</v>
      </c>
      <c r="W17" s="6">
        <v>44667</v>
      </c>
      <c r="X17" s="6">
        <v>51501</v>
      </c>
      <c r="Z17" s="4"/>
    </row>
    <row r="18" spans="1:26" x14ac:dyDescent="0.35">
      <c r="A18">
        <v>1</v>
      </c>
      <c r="B18" s="4">
        <v>2</v>
      </c>
      <c r="C18">
        <v>2000</v>
      </c>
      <c r="D18" s="2">
        <v>95</v>
      </c>
      <c r="E18" s="104">
        <v>6.8849999999999998</v>
      </c>
      <c r="F18" s="5" t="s">
        <v>170</v>
      </c>
      <c r="G18" t="s">
        <v>171</v>
      </c>
      <c r="H18" s="6">
        <v>44667</v>
      </c>
      <c r="I18" s="6">
        <v>51501</v>
      </c>
      <c r="J18" s="9"/>
      <c r="P18">
        <v>6</v>
      </c>
      <c r="Q18" s="4">
        <f t="shared" si="1"/>
        <v>0.05</v>
      </c>
      <c r="R18">
        <v>50</v>
      </c>
      <c r="S18" s="4">
        <v>0.30000000000000004</v>
      </c>
      <c r="T18">
        <v>1.5250999999999999</v>
      </c>
      <c r="U18" s="5" t="s">
        <v>251</v>
      </c>
      <c r="V18" t="s">
        <v>252</v>
      </c>
      <c r="W18" s="6">
        <v>44667</v>
      </c>
      <c r="X18" s="6">
        <v>51501</v>
      </c>
    </row>
    <row r="19" spans="1:26" x14ac:dyDescent="0.35">
      <c r="A19">
        <v>1</v>
      </c>
      <c r="B19" s="4">
        <v>20</v>
      </c>
      <c r="C19">
        <v>20000</v>
      </c>
      <c r="D19" s="2">
        <v>95</v>
      </c>
      <c r="E19" s="104">
        <v>53.818199999999997</v>
      </c>
      <c r="F19" s="5" t="s">
        <v>172</v>
      </c>
      <c r="G19" t="s">
        <v>173</v>
      </c>
      <c r="H19" s="6">
        <v>44667</v>
      </c>
      <c r="I19" s="6">
        <v>51501</v>
      </c>
      <c r="J19" s="9"/>
      <c r="P19">
        <v>6</v>
      </c>
      <c r="Q19" s="4">
        <f t="shared" si="1"/>
        <v>0.75</v>
      </c>
      <c r="R19">
        <v>750</v>
      </c>
      <c r="S19" s="4">
        <v>4.5</v>
      </c>
      <c r="T19">
        <v>19.2439</v>
      </c>
      <c r="U19" s="5" t="s">
        <v>253</v>
      </c>
      <c r="V19" t="s">
        <v>254</v>
      </c>
      <c r="W19" s="6">
        <v>44667</v>
      </c>
      <c r="X19" s="6">
        <v>51501</v>
      </c>
      <c r="Z19" s="4"/>
    </row>
    <row r="20" spans="1:26" x14ac:dyDescent="0.35">
      <c r="A20">
        <v>1</v>
      </c>
      <c r="B20" s="4">
        <v>22</v>
      </c>
      <c r="C20">
        <v>22000</v>
      </c>
      <c r="D20" s="2">
        <v>95</v>
      </c>
      <c r="E20" s="104">
        <v>59.2</v>
      </c>
      <c r="F20" s="5" t="s">
        <v>174</v>
      </c>
      <c r="G20" t="s">
        <v>175</v>
      </c>
      <c r="H20" s="6">
        <v>44667</v>
      </c>
      <c r="I20" s="6">
        <v>51501</v>
      </c>
      <c r="J20" s="9"/>
      <c r="K20" s="11"/>
      <c r="P20">
        <v>4</v>
      </c>
      <c r="Q20" s="4">
        <f t="shared" si="1"/>
        <v>0.75</v>
      </c>
      <c r="R20">
        <v>750</v>
      </c>
      <c r="S20" s="4">
        <v>3</v>
      </c>
      <c r="T20">
        <v>12.825799999999999</v>
      </c>
      <c r="U20" s="5" t="s">
        <v>911</v>
      </c>
      <c r="V20" t="s">
        <v>912</v>
      </c>
      <c r="W20" s="6">
        <v>44667</v>
      </c>
      <c r="X20" s="6">
        <v>51501</v>
      </c>
      <c r="Z20" s="4"/>
    </row>
    <row r="21" spans="1:26" x14ac:dyDescent="0.35">
      <c r="A21">
        <v>1</v>
      </c>
      <c r="B21" s="4">
        <v>0.25</v>
      </c>
      <c r="C21">
        <v>250</v>
      </c>
      <c r="D21" s="2">
        <v>95</v>
      </c>
      <c r="E21" s="104">
        <v>1.2725</v>
      </c>
      <c r="F21" s="5" t="s">
        <v>176</v>
      </c>
      <c r="G21" t="s">
        <v>177</v>
      </c>
      <c r="H21" s="6">
        <v>44667</v>
      </c>
      <c r="I21" s="6">
        <v>51501</v>
      </c>
      <c r="J21" s="9"/>
      <c r="K21" s="7"/>
      <c r="P21">
        <v>8</v>
      </c>
      <c r="Q21" s="4">
        <f t="shared" si="1"/>
        <v>0.75</v>
      </c>
      <c r="R21">
        <v>750</v>
      </c>
      <c r="S21" s="4">
        <v>6</v>
      </c>
      <c r="T21">
        <v>25.6584</v>
      </c>
      <c r="U21" t="s">
        <v>909</v>
      </c>
      <c r="V21" t="s">
        <v>910</v>
      </c>
      <c r="W21" s="6">
        <v>44667</v>
      </c>
      <c r="X21" s="6">
        <v>51501</v>
      </c>
      <c r="Z21" s="4"/>
    </row>
    <row r="22" spans="1:26" x14ac:dyDescent="0.35">
      <c r="A22">
        <v>1</v>
      </c>
      <c r="B22" s="4">
        <v>2.5</v>
      </c>
      <c r="C22">
        <v>2500</v>
      </c>
      <c r="D22" s="2">
        <v>95</v>
      </c>
      <c r="E22" s="104">
        <v>8.6046999999999993</v>
      </c>
      <c r="F22" s="5" t="s">
        <v>178</v>
      </c>
      <c r="G22" t="s">
        <v>179</v>
      </c>
      <c r="H22" s="6">
        <v>44667</v>
      </c>
      <c r="I22" s="6">
        <v>51501</v>
      </c>
      <c r="J22" s="9"/>
      <c r="K22" s="11"/>
      <c r="Z22" s="4"/>
    </row>
    <row r="23" spans="1:26" x14ac:dyDescent="0.35">
      <c r="A23">
        <v>1</v>
      </c>
      <c r="B23" s="4">
        <v>2.75</v>
      </c>
      <c r="C23">
        <v>2750</v>
      </c>
      <c r="D23" s="2">
        <v>95</v>
      </c>
      <c r="E23" s="104">
        <v>9.1580999999999992</v>
      </c>
      <c r="F23" s="5" t="s">
        <v>180</v>
      </c>
      <c r="G23" t="s">
        <v>181</v>
      </c>
      <c r="H23" s="6">
        <v>44667</v>
      </c>
      <c r="I23" s="6">
        <v>51501</v>
      </c>
      <c r="J23" s="9"/>
      <c r="K23" s="11"/>
      <c r="Z23" s="4"/>
    </row>
    <row r="24" spans="1:26" x14ac:dyDescent="0.35">
      <c r="A24">
        <v>1</v>
      </c>
      <c r="B24" s="4">
        <v>28</v>
      </c>
      <c r="C24">
        <v>28000</v>
      </c>
      <c r="D24" s="2">
        <v>95</v>
      </c>
      <c r="E24" s="104">
        <v>75.347899999999996</v>
      </c>
      <c r="F24" s="5" t="s">
        <v>182</v>
      </c>
      <c r="G24" t="s">
        <v>183</v>
      </c>
      <c r="H24" s="6">
        <v>44667</v>
      </c>
      <c r="I24" s="6">
        <v>51501</v>
      </c>
      <c r="J24" s="9"/>
      <c r="K24" s="11"/>
      <c r="Z24" s="4"/>
    </row>
    <row r="25" spans="1:26" x14ac:dyDescent="0.35">
      <c r="A25">
        <v>1</v>
      </c>
      <c r="B25" s="4">
        <v>0.28999999999999998</v>
      </c>
      <c r="C25">
        <v>290</v>
      </c>
      <c r="D25" s="2">
        <v>95</v>
      </c>
      <c r="E25" s="104">
        <v>1.4756</v>
      </c>
      <c r="F25" s="5" t="s">
        <v>184</v>
      </c>
      <c r="G25" t="s">
        <v>185</v>
      </c>
      <c r="H25" s="6">
        <v>44667</v>
      </c>
      <c r="I25" s="6">
        <v>51501</v>
      </c>
      <c r="J25" s="9"/>
      <c r="K25" s="11"/>
      <c r="Z25" s="4"/>
    </row>
    <row r="26" spans="1:26" x14ac:dyDescent="0.35">
      <c r="A26">
        <v>1</v>
      </c>
      <c r="B26" s="4">
        <v>0.3</v>
      </c>
      <c r="C26">
        <v>300</v>
      </c>
      <c r="D26" s="2">
        <v>95</v>
      </c>
      <c r="E26" s="104">
        <v>1.5266</v>
      </c>
      <c r="F26" s="5" t="s">
        <v>186</v>
      </c>
      <c r="G26" t="s">
        <v>187</v>
      </c>
      <c r="H26" s="6">
        <v>44667</v>
      </c>
      <c r="I26" s="6">
        <v>51501</v>
      </c>
      <c r="J26" s="9"/>
      <c r="K26" s="11"/>
      <c r="Z26" s="4"/>
    </row>
    <row r="27" spans="1:26" x14ac:dyDescent="0.35">
      <c r="A27">
        <v>1</v>
      </c>
      <c r="B27" s="4">
        <v>3</v>
      </c>
      <c r="C27">
        <v>3000</v>
      </c>
      <c r="D27" s="2">
        <v>95</v>
      </c>
      <c r="E27" s="104">
        <v>9.9911999999999992</v>
      </c>
      <c r="F27" s="5" t="s">
        <v>188</v>
      </c>
      <c r="G27" t="s">
        <v>189</v>
      </c>
      <c r="H27" s="6">
        <v>44667</v>
      </c>
      <c r="I27" s="6">
        <v>51501</v>
      </c>
      <c r="J27" s="9"/>
      <c r="K27" s="11"/>
    </row>
    <row r="28" spans="1:26" x14ac:dyDescent="0.35">
      <c r="A28">
        <v>1</v>
      </c>
      <c r="B28" s="4">
        <v>0.33</v>
      </c>
      <c r="C28">
        <v>330</v>
      </c>
      <c r="D28" s="2">
        <v>95</v>
      </c>
      <c r="E28" s="104">
        <v>1.6892</v>
      </c>
      <c r="F28" s="5" t="s">
        <v>190</v>
      </c>
      <c r="G28" t="s">
        <v>191</v>
      </c>
      <c r="H28" s="6">
        <v>44667</v>
      </c>
      <c r="I28" s="6">
        <v>51501</v>
      </c>
      <c r="J28" s="9"/>
      <c r="K28" s="11"/>
    </row>
    <row r="29" spans="1:26" x14ac:dyDescent="0.35">
      <c r="A29">
        <v>1</v>
      </c>
      <c r="B29" s="4">
        <v>0.35</v>
      </c>
      <c r="C29">
        <v>350</v>
      </c>
      <c r="D29" s="2">
        <v>95</v>
      </c>
      <c r="E29" s="104">
        <v>1.7811999999999999</v>
      </c>
      <c r="F29" s="5" t="s">
        <v>192</v>
      </c>
      <c r="G29" t="s">
        <v>193</v>
      </c>
      <c r="H29" s="6">
        <v>44667</v>
      </c>
      <c r="I29" s="6">
        <v>51501</v>
      </c>
      <c r="J29" s="9"/>
      <c r="K29" s="11"/>
    </row>
    <row r="30" spans="1:26" x14ac:dyDescent="0.35">
      <c r="A30">
        <v>1</v>
      </c>
      <c r="B30" s="4">
        <v>0.375</v>
      </c>
      <c r="C30">
        <v>375</v>
      </c>
      <c r="D30" s="2">
        <v>95</v>
      </c>
      <c r="E30" s="104">
        <v>1.9085000000000001</v>
      </c>
      <c r="F30" s="5" t="s">
        <v>194</v>
      </c>
      <c r="G30" t="s">
        <v>195</v>
      </c>
      <c r="H30" s="6">
        <v>44667</v>
      </c>
      <c r="I30" s="6">
        <v>51501</v>
      </c>
      <c r="J30" s="9"/>
      <c r="K30" s="11"/>
    </row>
    <row r="31" spans="1:26" x14ac:dyDescent="0.35">
      <c r="A31">
        <v>1</v>
      </c>
      <c r="B31" s="4">
        <v>4</v>
      </c>
      <c r="C31">
        <v>4000</v>
      </c>
      <c r="D31" s="2">
        <v>95</v>
      </c>
      <c r="E31" s="104">
        <v>12.3277</v>
      </c>
      <c r="F31" s="5" t="s">
        <v>196</v>
      </c>
      <c r="G31" t="s">
        <v>197</v>
      </c>
      <c r="H31" s="6">
        <v>44667</v>
      </c>
      <c r="I31" s="6">
        <v>51501</v>
      </c>
      <c r="J31" s="9"/>
      <c r="K31" s="11"/>
    </row>
    <row r="32" spans="1:26" x14ac:dyDescent="0.35">
      <c r="A32">
        <v>1</v>
      </c>
      <c r="B32" s="4">
        <v>4.5</v>
      </c>
      <c r="C32">
        <v>4500</v>
      </c>
      <c r="D32" s="2">
        <v>95</v>
      </c>
      <c r="E32" s="104">
        <v>13.8672</v>
      </c>
      <c r="F32" s="5" t="s">
        <v>198</v>
      </c>
      <c r="G32" t="s">
        <v>199</v>
      </c>
      <c r="H32" s="6">
        <v>44667</v>
      </c>
      <c r="I32" s="6">
        <v>51501</v>
      </c>
      <c r="J32" s="9"/>
      <c r="K32" s="11"/>
    </row>
    <row r="33" spans="1:11" x14ac:dyDescent="0.35">
      <c r="A33">
        <v>1</v>
      </c>
      <c r="B33" s="4">
        <v>0.05</v>
      </c>
      <c r="C33">
        <v>50</v>
      </c>
      <c r="D33" s="2">
        <v>95</v>
      </c>
      <c r="E33" s="104">
        <v>0.254</v>
      </c>
      <c r="F33" s="5" t="s">
        <v>200</v>
      </c>
      <c r="G33" t="s">
        <v>201</v>
      </c>
      <c r="H33" s="6">
        <v>44667</v>
      </c>
      <c r="I33" s="6">
        <v>51501</v>
      </c>
      <c r="J33" s="9"/>
      <c r="K33" s="11"/>
    </row>
    <row r="34" spans="1:11" x14ac:dyDescent="0.35">
      <c r="A34">
        <v>1</v>
      </c>
      <c r="B34" s="4">
        <v>0.5</v>
      </c>
      <c r="C34">
        <v>500</v>
      </c>
      <c r="D34" s="2">
        <v>95</v>
      </c>
      <c r="E34" s="104">
        <v>2.5470000000000002</v>
      </c>
      <c r="F34" s="5" t="s">
        <v>202</v>
      </c>
      <c r="G34" t="s">
        <v>203</v>
      </c>
      <c r="H34" s="6">
        <v>44667</v>
      </c>
      <c r="I34" s="6">
        <v>51501</v>
      </c>
      <c r="J34" s="9"/>
      <c r="K34" s="11"/>
    </row>
    <row r="35" spans="1:11" x14ac:dyDescent="0.35">
      <c r="A35">
        <v>1</v>
      </c>
      <c r="B35" s="4">
        <v>5</v>
      </c>
      <c r="C35">
        <v>5000</v>
      </c>
      <c r="D35" s="2">
        <v>95</v>
      </c>
      <c r="E35" s="104">
        <v>15.409000000000001</v>
      </c>
      <c r="F35" s="5" t="s">
        <v>204</v>
      </c>
      <c r="G35" t="s">
        <v>205</v>
      </c>
      <c r="H35" s="6">
        <v>44667</v>
      </c>
      <c r="I35" s="6">
        <v>51501</v>
      </c>
      <c r="J35" s="9"/>
      <c r="K35" s="11"/>
    </row>
    <row r="36" spans="1:11" x14ac:dyDescent="0.35">
      <c r="A36">
        <v>1</v>
      </c>
      <c r="B36" s="4">
        <v>6</v>
      </c>
      <c r="C36">
        <v>6000</v>
      </c>
      <c r="D36" s="2">
        <v>95</v>
      </c>
      <c r="E36" s="104">
        <v>18.491399999999999</v>
      </c>
      <c r="F36" s="5" t="s">
        <v>206</v>
      </c>
      <c r="G36" t="s">
        <v>207</v>
      </c>
      <c r="H36" s="6">
        <v>44667</v>
      </c>
      <c r="I36" s="6">
        <v>51501</v>
      </c>
      <c r="J36" s="9"/>
      <c r="K36" s="11"/>
    </row>
    <row r="37" spans="1:11" x14ac:dyDescent="0.35">
      <c r="A37">
        <v>1</v>
      </c>
      <c r="B37" s="4">
        <v>0.62</v>
      </c>
      <c r="C37">
        <v>620</v>
      </c>
      <c r="D37" s="2">
        <v>95</v>
      </c>
      <c r="E37" s="104">
        <v>2.6513</v>
      </c>
      <c r="F37" s="5" t="s">
        <v>208</v>
      </c>
      <c r="G37" t="s">
        <v>209</v>
      </c>
      <c r="H37" s="6">
        <v>44667</v>
      </c>
      <c r="I37" s="6">
        <v>51501</v>
      </c>
      <c r="J37" s="9"/>
      <c r="K37" s="11"/>
    </row>
    <row r="38" spans="1:11" x14ac:dyDescent="0.35">
      <c r="A38">
        <v>1</v>
      </c>
      <c r="B38" s="4">
        <v>0.7</v>
      </c>
      <c r="C38">
        <v>700</v>
      </c>
      <c r="D38" s="2">
        <v>95</v>
      </c>
      <c r="E38" s="104">
        <v>2.9939</v>
      </c>
      <c r="F38" s="5" t="s">
        <v>210</v>
      </c>
      <c r="G38" t="s">
        <v>211</v>
      </c>
      <c r="H38" s="6">
        <v>44667</v>
      </c>
      <c r="I38" s="6">
        <v>51501</v>
      </c>
      <c r="J38" s="9"/>
      <c r="K38" s="11"/>
    </row>
    <row r="39" spans="1:11" x14ac:dyDescent="0.35">
      <c r="A39">
        <v>1</v>
      </c>
      <c r="B39" s="4">
        <v>0.72</v>
      </c>
      <c r="C39">
        <v>720</v>
      </c>
      <c r="D39" s="2">
        <v>95</v>
      </c>
      <c r="E39" s="104">
        <v>3.0787</v>
      </c>
      <c r="F39" s="5" t="s">
        <v>212</v>
      </c>
      <c r="G39" t="s">
        <v>213</v>
      </c>
      <c r="H39" s="6">
        <v>44667</v>
      </c>
      <c r="I39" s="6">
        <v>51501</v>
      </c>
      <c r="J39" s="9"/>
      <c r="K39" s="11"/>
    </row>
    <row r="40" spans="1:11" x14ac:dyDescent="0.35">
      <c r="A40">
        <v>1</v>
      </c>
      <c r="B40" s="4">
        <v>0.73</v>
      </c>
      <c r="C40">
        <v>730</v>
      </c>
      <c r="D40" s="2">
        <v>95</v>
      </c>
      <c r="E40" s="104">
        <v>3.1212</v>
      </c>
      <c r="F40" s="5" t="s">
        <v>214</v>
      </c>
      <c r="G40" t="s">
        <v>215</v>
      </c>
      <c r="H40" s="6">
        <v>44667</v>
      </c>
      <c r="I40" s="6">
        <v>51501</v>
      </c>
      <c r="J40" s="9"/>
      <c r="K40" s="10"/>
    </row>
    <row r="41" spans="1:11" x14ac:dyDescent="0.35">
      <c r="A41">
        <v>1</v>
      </c>
      <c r="B41" s="4">
        <v>0.75</v>
      </c>
      <c r="C41">
        <v>750</v>
      </c>
      <c r="D41" s="2">
        <v>95</v>
      </c>
      <c r="E41" s="104">
        <v>3.2073</v>
      </c>
      <c r="F41" s="5" t="s">
        <v>216</v>
      </c>
      <c r="G41" t="s">
        <v>217</v>
      </c>
      <c r="H41" s="6">
        <v>44667</v>
      </c>
      <c r="I41" s="6">
        <v>51501</v>
      </c>
      <c r="J41" s="9"/>
    </row>
    <row r="42" spans="1:11" x14ac:dyDescent="0.35">
      <c r="A42">
        <v>1</v>
      </c>
      <c r="B42" s="4">
        <v>0.9</v>
      </c>
      <c r="C42">
        <v>900</v>
      </c>
      <c r="D42" s="2">
        <v>95</v>
      </c>
      <c r="E42" s="104">
        <v>3.3018999999999998</v>
      </c>
      <c r="F42" s="5" t="s">
        <v>218</v>
      </c>
      <c r="G42" t="s">
        <v>219</v>
      </c>
      <c r="H42" s="6">
        <v>44667</v>
      </c>
      <c r="I42" s="6">
        <v>51501</v>
      </c>
      <c r="J42" s="9"/>
    </row>
    <row r="43" spans="1:11" x14ac:dyDescent="0.35">
      <c r="A43">
        <v>1</v>
      </c>
      <c r="B43" s="4">
        <v>9</v>
      </c>
      <c r="C43">
        <v>9000</v>
      </c>
      <c r="D43" s="2">
        <v>95</v>
      </c>
      <c r="E43" s="104">
        <v>23.882999999999999</v>
      </c>
      <c r="F43" s="5" t="s">
        <v>220</v>
      </c>
      <c r="G43" t="s">
        <v>221</v>
      </c>
      <c r="H43" s="6">
        <v>44667</v>
      </c>
      <c r="I43" s="6">
        <v>51501</v>
      </c>
      <c r="J43" s="9"/>
    </row>
    <row r="44" spans="1:11" x14ac:dyDescent="0.35">
      <c r="A44">
        <v>1</v>
      </c>
      <c r="B44" s="4">
        <v>1.2</v>
      </c>
      <c r="C44">
        <v>1200</v>
      </c>
      <c r="D44" s="2">
        <v>95</v>
      </c>
      <c r="E44" s="104">
        <v>4.2697000000000003</v>
      </c>
      <c r="F44" s="5" t="s">
        <v>893</v>
      </c>
      <c r="G44" t="s">
        <v>894</v>
      </c>
      <c r="H44" s="6">
        <v>44667</v>
      </c>
      <c r="I44" s="6">
        <v>51501</v>
      </c>
      <c r="J44" s="9"/>
    </row>
    <row r="45" spans="1:11" x14ac:dyDescent="0.35">
      <c r="A45">
        <v>1</v>
      </c>
      <c r="B45" s="4">
        <v>2.25</v>
      </c>
      <c r="C45">
        <v>2250</v>
      </c>
      <c r="D45" s="2">
        <v>95</v>
      </c>
      <c r="E45" s="104">
        <v>6.1199000000000003</v>
      </c>
      <c r="F45" s="5" t="s">
        <v>895</v>
      </c>
      <c r="G45" t="s">
        <v>896</v>
      </c>
      <c r="H45" s="6">
        <v>44667</v>
      </c>
      <c r="I45" s="6">
        <v>51501</v>
      </c>
      <c r="J45" s="9"/>
    </row>
    <row r="46" spans="1:11" x14ac:dyDescent="0.35">
      <c r="A46">
        <v>1</v>
      </c>
      <c r="B46" s="4">
        <v>30</v>
      </c>
      <c r="C46">
        <v>30000</v>
      </c>
      <c r="D46" s="2">
        <v>95</v>
      </c>
      <c r="E46" s="104">
        <v>80.698899999999995</v>
      </c>
      <c r="F46" s="5" t="s">
        <v>897</v>
      </c>
      <c r="G46" t="s">
        <v>898</v>
      </c>
      <c r="H46" s="6">
        <v>44667</v>
      </c>
      <c r="I46" s="6">
        <v>51501</v>
      </c>
      <c r="J46" s="9"/>
    </row>
    <row r="47" spans="1:11" x14ac:dyDescent="0.35">
      <c r="A47">
        <v>1</v>
      </c>
      <c r="B47" s="4">
        <v>0.35499999999999998</v>
      </c>
      <c r="C47">
        <v>355</v>
      </c>
      <c r="D47" s="2">
        <v>95</v>
      </c>
      <c r="E47" s="104">
        <v>1.8171999999999999</v>
      </c>
      <c r="F47" s="5" t="s">
        <v>899</v>
      </c>
      <c r="G47" t="s">
        <v>900</v>
      </c>
      <c r="H47" s="6">
        <v>44667</v>
      </c>
      <c r="I47" s="6">
        <v>51501</v>
      </c>
      <c r="J47" s="9"/>
    </row>
    <row r="48" spans="1:11" x14ac:dyDescent="0.35">
      <c r="A48">
        <v>1</v>
      </c>
      <c r="B48" s="4">
        <v>3.75</v>
      </c>
      <c r="C48">
        <v>3750</v>
      </c>
      <c r="D48" s="2">
        <v>95</v>
      </c>
      <c r="E48" s="104">
        <v>12.488899999999999</v>
      </c>
      <c r="F48" s="5" t="s">
        <v>901</v>
      </c>
      <c r="G48" t="s">
        <v>902</v>
      </c>
      <c r="H48" s="6">
        <v>44667</v>
      </c>
      <c r="I48" s="6">
        <v>51501</v>
      </c>
      <c r="J48" s="9"/>
    </row>
    <row r="49" spans="1:10" x14ac:dyDescent="0.35">
      <c r="A49">
        <v>1</v>
      </c>
      <c r="B49" s="4">
        <v>0.47299999999999998</v>
      </c>
      <c r="C49">
        <v>473</v>
      </c>
      <c r="D49" s="2">
        <v>95</v>
      </c>
      <c r="E49" s="104">
        <v>2.0789</v>
      </c>
      <c r="F49" s="5" t="s">
        <v>903</v>
      </c>
      <c r="G49" t="s">
        <v>904</v>
      </c>
      <c r="H49" s="6">
        <v>44667</v>
      </c>
      <c r="I49" s="6">
        <v>51501</v>
      </c>
      <c r="J49" s="9"/>
    </row>
    <row r="50" spans="1:10" x14ac:dyDescent="0.35">
      <c r="A50">
        <v>1</v>
      </c>
      <c r="B50" s="4">
        <v>4.8</v>
      </c>
      <c r="C50">
        <v>4800</v>
      </c>
      <c r="D50" s="2">
        <v>95</v>
      </c>
      <c r="E50" s="104">
        <v>14.7926</v>
      </c>
      <c r="F50" s="5" t="s">
        <v>905</v>
      </c>
      <c r="G50" t="s">
        <v>906</v>
      </c>
      <c r="H50" s="6">
        <v>44667</v>
      </c>
      <c r="I50" s="6">
        <v>51501</v>
      </c>
      <c r="J50" s="9"/>
    </row>
    <row r="51" spans="1:10" x14ac:dyDescent="0.35">
      <c r="A51">
        <v>1</v>
      </c>
      <c r="B51" s="4">
        <v>0.65</v>
      </c>
      <c r="C51">
        <v>650</v>
      </c>
      <c r="D51" s="2">
        <v>95</v>
      </c>
      <c r="E51" s="104">
        <v>2.7307999999999999</v>
      </c>
      <c r="F51" s="5" t="s">
        <v>907</v>
      </c>
      <c r="G51" t="s">
        <v>908</v>
      </c>
      <c r="H51" s="6">
        <v>44667</v>
      </c>
      <c r="I51" s="6">
        <v>51501</v>
      </c>
      <c r="J51" s="9"/>
    </row>
    <row r="84" spans="10:11" ht="13.5" customHeight="1" x14ac:dyDescent="0.35">
      <c r="J84" s="9"/>
      <c r="K84" s="11"/>
    </row>
  </sheetData>
  <conditionalFormatting sqref="B2 B4:B51">
    <cfRule type="duplicateValues" dxfId="7" priority="2"/>
  </conditionalFormatting>
  <conditionalFormatting sqref="S3:S21">
    <cfRule type="duplicateValues" dxfId="6" priority="8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Z50"/>
  <sheetViews>
    <sheetView topLeftCell="F1" workbookViewId="0">
      <selection activeCell="X11" sqref="X11"/>
    </sheetView>
  </sheetViews>
  <sheetFormatPr defaultRowHeight="14.5" x14ac:dyDescent="0.35"/>
  <cols>
    <col min="5" max="5" width="13.1796875" customWidth="1"/>
    <col min="7" max="7" width="26.7265625" bestFit="1" customWidth="1"/>
    <col min="8" max="8" width="12.453125" bestFit="1" customWidth="1"/>
    <col min="9" max="9" width="10.7265625" bestFit="1" customWidth="1"/>
    <col min="10" max="10" width="2.1796875" customWidth="1"/>
    <col min="19" max="19" width="26.7265625" bestFit="1" customWidth="1"/>
    <col min="20" max="20" width="13.54296875" bestFit="1" customWidth="1"/>
    <col min="21" max="21" width="11" bestFit="1" customWidth="1"/>
    <col min="22" max="22" width="1.81640625" customWidth="1"/>
  </cols>
  <sheetData>
    <row r="1" spans="1:26" x14ac:dyDescent="0.3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862</v>
      </c>
    </row>
    <row r="2" spans="1:26" x14ac:dyDescent="0.35">
      <c r="A2">
        <v>1</v>
      </c>
      <c r="B2" s="4">
        <v>0.05</v>
      </c>
      <c r="C2">
        <v>50</v>
      </c>
      <c r="D2">
        <v>95</v>
      </c>
      <c r="E2" s="104">
        <v>0.15659999999999999</v>
      </c>
      <c r="F2" s="5" t="s">
        <v>255</v>
      </c>
      <c r="G2" t="s">
        <v>256</v>
      </c>
      <c r="H2" s="6">
        <v>44667</v>
      </c>
      <c r="I2" s="6">
        <v>51501</v>
      </c>
      <c r="J2" s="12"/>
      <c r="L2">
        <v>2</v>
      </c>
      <c r="M2" s="4">
        <f t="shared" ref="M2:M38" si="0">N2/1000</f>
        <v>0.27500000000000002</v>
      </c>
      <c r="N2">
        <v>275</v>
      </c>
      <c r="O2">
        <v>0.55000000000000004</v>
      </c>
      <c r="P2">
        <v>95</v>
      </c>
      <c r="Q2">
        <v>1.7229000000000001</v>
      </c>
      <c r="R2" s="5" t="s">
        <v>257</v>
      </c>
      <c r="S2" t="s">
        <v>258</v>
      </c>
      <c r="T2" s="6">
        <v>44667</v>
      </c>
      <c r="U2" s="6">
        <v>51501</v>
      </c>
      <c r="V2" s="9"/>
      <c r="X2" t="s">
        <v>858</v>
      </c>
      <c r="Y2" t="s">
        <v>859</v>
      </c>
      <c r="Z2" t="s">
        <v>860</v>
      </c>
    </row>
    <row r="3" spans="1:26" x14ac:dyDescent="0.35">
      <c r="A3">
        <v>1</v>
      </c>
      <c r="B3" s="4">
        <v>0.1</v>
      </c>
      <c r="C3">
        <v>100</v>
      </c>
      <c r="D3">
        <v>95</v>
      </c>
      <c r="E3" s="104">
        <v>0.30220000000000002</v>
      </c>
      <c r="F3" s="5" t="s">
        <v>259</v>
      </c>
      <c r="G3" t="s">
        <v>260</v>
      </c>
      <c r="H3" s="6">
        <v>44667</v>
      </c>
      <c r="I3" s="6">
        <v>51501</v>
      </c>
      <c r="J3" s="12"/>
      <c r="L3">
        <v>4</v>
      </c>
      <c r="M3" s="4">
        <f t="shared" si="0"/>
        <v>0.25</v>
      </c>
      <c r="N3">
        <v>250</v>
      </c>
      <c r="O3">
        <v>1</v>
      </c>
      <c r="P3">
        <v>95</v>
      </c>
      <c r="Q3">
        <v>3.1322000000000001</v>
      </c>
      <c r="R3" s="5" t="s">
        <v>261</v>
      </c>
      <c r="S3" t="s">
        <v>262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</row>
    <row r="4" spans="1:26" x14ac:dyDescent="0.35">
      <c r="A4">
        <v>1</v>
      </c>
      <c r="B4" s="4">
        <v>0.187</v>
      </c>
      <c r="C4">
        <v>187</v>
      </c>
      <c r="D4">
        <v>95</v>
      </c>
      <c r="E4" s="104">
        <v>0.58579999999999999</v>
      </c>
      <c r="F4" s="5" t="s">
        <v>263</v>
      </c>
      <c r="G4" t="s">
        <v>264</v>
      </c>
      <c r="H4" s="6">
        <v>44667</v>
      </c>
      <c r="I4" s="6">
        <v>51501</v>
      </c>
      <c r="J4" s="12"/>
      <c r="L4">
        <v>4</v>
      </c>
      <c r="M4" s="4">
        <f t="shared" si="0"/>
        <v>0.27500000000000002</v>
      </c>
      <c r="N4">
        <v>275</v>
      </c>
      <c r="O4">
        <v>1.1000000000000001</v>
      </c>
      <c r="P4">
        <v>95</v>
      </c>
      <c r="Q4">
        <v>3.4462000000000002</v>
      </c>
      <c r="R4" s="5" t="s">
        <v>265</v>
      </c>
      <c r="S4" t="s">
        <v>266</v>
      </c>
      <c r="T4" s="6">
        <v>44667</v>
      </c>
      <c r="U4" s="6">
        <v>51501</v>
      </c>
      <c r="V4" s="9"/>
    </row>
    <row r="5" spans="1:26" x14ac:dyDescent="0.35">
      <c r="A5">
        <v>1</v>
      </c>
      <c r="B5" s="4">
        <v>0.2</v>
      </c>
      <c r="C5">
        <v>200</v>
      </c>
      <c r="D5">
        <v>95</v>
      </c>
      <c r="E5" s="104">
        <v>0.62680000000000002</v>
      </c>
      <c r="F5" s="5" t="s">
        <v>267</v>
      </c>
      <c r="G5" t="s">
        <v>268</v>
      </c>
      <c r="H5" s="6">
        <v>44667</v>
      </c>
      <c r="I5" s="6">
        <v>51501</v>
      </c>
      <c r="J5" s="12"/>
      <c r="L5">
        <v>4</v>
      </c>
      <c r="M5" s="4">
        <f t="shared" si="0"/>
        <v>0.3</v>
      </c>
      <c r="N5">
        <v>300</v>
      </c>
      <c r="O5">
        <v>1.2</v>
      </c>
      <c r="P5">
        <v>95</v>
      </c>
      <c r="Q5">
        <v>3.7603</v>
      </c>
      <c r="R5" s="5" t="s">
        <v>269</v>
      </c>
      <c r="S5" t="s">
        <v>270</v>
      </c>
      <c r="T5" s="6">
        <v>44667</v>
      </c>
      <c r="U5" s="6">
        <v>51501</v>
      </c>
      <c r="V5" s="9"/>
    </row>
    <row r="6" spans="1:26" x14ac:dyDescent="0.35">
      <c r="A6">
        <v>1</v>
      </c>
      <c r="B6" s="4">
        <v>0.23699999999999999</v>
      </c>
      <c r="C6">
        <v>237</v>
      </c>
      <c r="D6">
        <v>95</v>
      </c>
      <c r="E6" s="104">
        <v>0.74209999999999998</v>
      </c>
      <c r="F6" s="5" t="s">
        <v>271</v>
      </c>
      <c r="G6" t="s">
        <v>272</v>
      </c>
      <c r="H6" s="6">
        <v>44667</v>
      </c>
      <c r="I6" s="6">
        <v>51501</v>
      </c>
      <c r="J6" s="12"/>
      <c r="L6">
        <v>4</v>
      </c>
      <c r="M6" s="4">
        <f t="shared" si="0"/>
        <v>0.33</v>
      </c>
      <c r="N6">
        <v>330</v>
      </c>
      <c r="O6">
        <v>1.32</v>
      </c>
      <c r="P6">
        <v>95</v>
      </c>
      <c r="Q6">
        <v>3.5859000000000001</v>
      </c>
      <c r="R6" s="5" t="s">
        <v>273</v>
      </c>
      <c r="S6" t="s">
        <v>274</v>
      </c>
      <c r="T6" s="6">
        <v>44667</v>
      </c>
      <c r="U6" s="6">
        <v>51501</v>
      </c>
      <c r="V6" s="9"/>
    </row>
    <row r="7" spans="1:26" x14ac:dyDescent="0.35">
      <c r="A7">
        <v>1</v>
      </c>
      <c r="B7" s="4">
        <v>0.25</v>
      </c>
      <c r="C7">
        <v>250</v>
      </c>
      <c r="D7">
        <v>95</v>
      </c>
      <c r="E7" s="104">
        <v>0.78310000000000002</v>
      </c>
      <c r="F7" s="5" t="s">
        <v>275</v>
      </c>
      <c r="G7" t="s">
        <v>276</v>
      </c>
      <c r="H7" s="6">
        <v>44667</v>
      </c>
      <c r="I7" s="6">
        <v>51501</v>
      </c>
      <c r="J7" s="12"/>
      <c r="L7">
        <v>4</v>
      </c>
      <c r="M7" s="4">
        <f t="shared" si="0"/>
        <v>0.33300000000000002</v>
      </c>
      <c r="N7">
        <v>333</v>
      </c>
      <c r="O7">
        <v>1.3320000000000001</v>
      </c>
      <c r="P7">
        <v>95</v>
      </c>
      <c r="Q7">
        <v>3.6190000000000002</v>
      </c>
      <c r="R7" s="5" t="s">
        <v>277</v>
      </c>
      <c r="S7" t="s">
        <v>278</v>
      </c>
      <c r="T7" s="6">
        <v>44667</v>
      </c>
      <c r="U7" s="6">
        <v>51501</v>
      </c>
      <c r="V7" s="9"/>
    </row>
    <row r="8" spans="1:26" x14ac:dyDescent="0.35">
      <c r="A8">
        <v>1</v>
      </c>
      <c r="B8" s="4">
        <v>0.27</v>
      </c>
      <c r="C8">
        <v>270</v>
      </c>
      <c r="D8">
        <v>95</v>
      </c>
      <c r="E8" s="104">
        <v>0.84589999999999999</v>
      </c>
      <c r="F8" s="5" t="s">
        <v>279</v>
      </c>
      <c r="G8" t="s">
        <v>280</v>
      </c>
      <c r="H8" s="6">
        <v>44667</v>
      </c>
      <c r="I8" s="6">
        <v>51501</v>
      </c>
      <c r="J8" s="12"/>
      <c r="L8">
        <v>4</v>
      </c>
      <c r="M8" s="4">
        <f t="shared" si="0"/>
        <v>0.34</v>
      </c>
      <c r="N8">
        <v>340</v>
      </c>
      <c r="O8">
        <v>1.36</v>
      </c>
      <c r="P8">
        <v>95</v>
      </c>
      <c r="Q8">
        <v>3.6951999999999998</v>
      </c>
      <c r="R8" s="5" t="s">
        <v>281</v>
      </c>
      <c r="S8" t="s">
        <v>282</v>
      </c>
      <c r="T8" s="6">
        <v>44667</v>
      </c>
      <c r="U8" s="6">
        <v>51501</v>
      </c>
      <c r="V8" s="9"/>
    </row>
    <row r="9" spans="1:26" x14ac:dyDescent="0.35">
      <c r="A9">
        <v>1</v>
      </c>
      <c r="B9" s="4">
        <v>0.27500000000000002</v>
      </c>
      <c r="C9">
        <v>275</v>
      </c>
      <c r="D9">
        <v>95</v>
      </c>
      <c r="E9" s="104">
        <v>0.86150000000000004</v>
      </c>
      <c r="F9" s="5" t="s">
        <v>283</v>
      </c>
      <c r="G9" t="s">
        <v>284</v>
      </c>
      <c r="H9" s="6">
        <v>44667</v>
      </c>
      <c r="I9" s="6">
        <v>51501</v>
      </c>
      <c r="J9" s="12"/>
      <c r="L9">
        <v>4</v>
      </c>
      <c r="M9" s="4">
        <f t="shared" si="0"/>
        <v>0.34100000000000003</v>
      </c>
      <c r="N9">
        <v>341</v>
      </c>
      <c r="O9">
        <v>1.3640000000000001</v>
      </c>
      <c r="P9">
        <v>95</v>
      </c>
      <c r="Q9">
        <v>3.7054</v>
      </c>
      <c r="R9" s="5" t="s">
        <v>285</v>
      </c>
      <c r="S9" t="s">
        <v>286</v>
      </c>
      <c r="T9" s="6">
        <v>44667</v>
      </c>
      <c r="U9" s="6">
        <v>51501</v>
      </c>
      <c r="V9" s="9"/>
    </row>
    <row r="10" spans="1:26" x14ac:dyDescent="0.35">
      <c r="A10">
        <v>1</v>
      </c>
      <c r="B10" s="4">
        <v>0.29599999999999999</v>
      </c>
      <c r="C10">
        <v>296</v>
      </c>
      <c r="D10">
        <v>95</v>
      </c>
      <c r="E10" s="104">
        <v>0.88380000000000003</v>
      </c>
      <c r="F10" s="5" t="s">
        <v>287</v>
      </c>
      <c r="G10" t="s">
        <v>288</v>
      </c>
      <c r="H10" s="6">
        <v>44667</v>
      </c>
      <c r="I10" s="6">
        <v>51501</v>
      </c>
      <c r="J10" s="12"/>
      <c r="L10">
        <v>4</v>
      </c>
      <c r="M10" s="4">
        <f t="shared" si="0"/>
        <v>0.35499999999999998</v>
      </c>
      <c r="N10">
        <v>355</v>
      </c>
      <c r="O10">
        <v>1.42</v>
      </c>
      <c r="P10">
        <v>95</v>
      </c>
      <c r="Q10">
        <v>3.8576000000000001</v>
      </c>
      <c r="R10" s="5" t="s">
        <v>289</v>
      </c>
      <c r="S10" t="s">
        <v>290</v>
      </c>
      <c r="T10" s="6">
        <v>44667</v>
      </c>
      <c r="U10" s="6">
        <v>51501</v>
      </c>
      <c r="V10" s="9"/>
    </row>
    <row r="11" spans="1:26" x14ac:dyDescent="0.35">
      <c r="A11">
        <v>1</v>
      </c>
      <c r="B11" s="4">
        <v>0.3</v>
      </c>
      <c r="C11">
        <v>300</v>
      </c>
      <c r="D11">
        <v>95</v>
      </c>
      <c r="E11" s="104">
        <v>0.89559999999999995</v>
      </c>
      <c r="F11" s="5" t="s">
        <v>291</v>
      </c>
      <c r="G11" t="s">
        <v>292</v>
      </c>
      <c r="H11" s="6">
        <v>44667</v>
      </c>
      <c r="I11" s="6">
        <v>51501</v>
      </c>
      <c r="J11" s="12"/>
      <c r="L11">
        <v>4</v>
      </c>
      <c r="M11" s="4">
        <f t="shared" si="0"/>
        <v>0.4</v>
      </c>
      <c r="N11">
        <v>400</v>
      </c>
      <c r="O11">
        <v>1.6</v>
      </c>
      <c r="P11">
        <v>95</v>
      </c>
      <c r="Q11">
        <v>5.0974000000000004</v>
      </c>
      <c r="R11" s="5" t="s">
        <v>293</v>
      </c>
      <c r="S11" t="s">
        <v>294</v>
      </c>
      <c r="T11" s="6">
        <v>44667</v>
      </c>
      <c r="U11" s="6">
        <v>51501</v>
      </c>
      <c r="V11" s="9"/>
    </row>
    <row r="12" spans="1:26" x14ac:dyDescent="0.35">
      <c r="A12">
        <v>1</v>
      </c>
      <c r="B12" s="4">
        <v>0.33</v>
      </c>
      <c r="C12">
        <v>330</v>
      </c>
      <c r="D12">
        <v>95</v>
      </c>
      <c r="E12" s="104">
        <v>1.0341</v>
      </c>
      <c r="F12" s="5" t="s">
        <v>295</v>
      </c>
      <c r="G12" t="s">
        <v>296</v>
      </c>
      <c r="H12" s="6">
        <v>44667</v>
      </c>
      <c r="I12" s="6">
        <v>51501</v>
      </c>
      <c r="J12" s="12"/>
      <c r="L12">
        <v>4</v>
      </c>
      <c r="M12" s="4">
        <f t="shared" si="0"/>
        <v>0.47299999999999998</v>
      </c>
      <c r="N12">
        <v>473</v>
      </c>
      <c r="O12">
        <v>1.8919999999999999</v>
      </c>
      <c r="P12">
        <v>95</v>
      </c>
      <c r="Q12">
        <v>3.9512999999999998</v>
      </c>
      <c r="R12" s="5" t="s">
        <v>297</v>
      </c>
      <c r="S12" t="s">
        <v>298</v>
      </c>
      <c r="T12" s="6">
        <v>44667</v>
      </c>
      <c r="U12" s="6">
        <v>51501</v>
      </c>
      <c r="V12" s="9"/>
    </row>
    <row r="13" spans="1:26" x14ac:dyDescent="0.35">
      <c r="A13">
        <v>1</v>
      </c>
      <c r="B13" s="4">
        <v>0.33300000000000002</v>
      </c>
      <c r="C13">
        <v>333</v>
      </c>
      <c r="D13">
        <v>95</v>
      </c>
      <c r="E13" s="104">
        <v>1.0429999999999999</v>
      </c>
      <c r="F13" s="5" t="s">
        <v>299</v>
      </c>
      <c r="G13" t="s">
        <v>300</v>
      </c>
      <c r="H13" s="6">
        <v>44667</v>
      </c>
      <c r="I13" s="6">
        <v>51501</v>
      </c>
      <c r="J13" s="12"/>
      <c r="L13">
        <v>4</v>
      </c>
      <c r="M13" s="4">
        <f t="shared" si="0"/>
        <v>0.5</v>
      </c>
      <c r="N13">
        <v>500</v>
      </c>
      <c r="O13">
        <v>2</v>
      </c>
      <c r="P13">
        <v>95</v>
      </c>
      <c r="Q13">
        <v>4.8479999999999999</v>
      </c>
      <c r="R13" s="5" t="s">
        <v>301</v>
      </c>
      <c r="S13" t="s">
        <v>302</v>
      </c>
      <c r="T13" s="6">
        <v>44667</v>
      </c>
      <c r="U13" s="6">
        <v>51501</v>
      </c>
      <c r="V13" s="9"/>
    </row>
    <row r="14" spans="1:26" x14ac:dyDescent="0.35">
      <c r="A14">
        <v>1</v>
      </c>
      <c r="B14" s="4">
        <v>0.34100000000000003</v>
      </c>
      <c r="C14">
        <v>341</v>
      </c>
      <c r="D14">
        <v>95</v>
      </c>
      <c r="E14" s="104">
        <v>1.0683</v>
      </c>
      <c r="F14" s="5" t="s">
        <v>303</v>
      </c>
      <c r="G14" t="s">
        <v>304</v>
      </c>
      <c r="H14" s="6">
        <v>44667</v>
      </c>
      <c r="I14" s="6">
        <v>51501</v>
      </c>
      <c r="J14" s="12"/>
      <c r="L14">
        <v>6</v>
      </c>
      <c r="M14" s="4">
        <f t="shared" si="0"/>
        <v>0.33</v>
      </c>
      <c r="N14">
        <v>330</v>
      </c>
      <c r="O14">
        <v>1.98</v>
      </c>
      <c r="P14">
        <v>95</v>
      </c>
      <c r="Q14">
        <v>4.1360999999999999</v>
      </c>
      <c r="R14" s="5" t="s">
        <v>305</v>
      </c>
      <c r="S14" t="s">
        <v>306</v>
      </c>
      <c r="T14" s="6">
        <v>44667</v>
      </c>
      <c r="U14" s="6">
        <v>51501</v>
      </c>
      <c r="V14" s="9"/>
    </row>
    <row r="15" spans="1:26" x14ac:dyDescent="0.35">
      <c r="A15">
        <v>1</v>
      </c>
      <c r="B15" s="4">
        <v>0.35499999999999998</v>
      </c>
      <c r="C15">
        <v>355</v>
      </c>
      <c r="D15">
        <v>95</v>
      </c>
      <c r="E15" s="104">
        <v>1.1124000000000001</v>
      </c>
      <c r="F15" s="5" t="s">
        <v>307</v>
      </c>
      <c r="G15" t="s">
        <v>308</v>
      </c>
      <c r="H15" s="6">
        <v>44667</v>
      </c>
      <c r="I15" s="6">
        <v>51501</v>
      </c>
      <c r="J15" s="12"/>
      <c r="L15">
        <v>6</v>
      </c>
      <c r="M15" s="4">
        <f t="shared" si="0"/>
        <v>0.34100000000000003</v>
      </c>
      <c r="N15">
        <v>341</v>
      </c>
      <c r="O15">
        <v>2.0459999999999998</v>
      </c>
      <c r="P15">
        <v>95</v>
      </c>
      <c r="Q15">
        <v>4.7424999999999997</v>
      </c>
      <c r="R15" s="5" t="s">
        <v>309</v>
      </c>
      <c r="S15" t="s">
        <v>310</v>
      </c>
      <c r="T15" s="6">
        <v>44667</v>
      </c>
      <c r="U15" s="6">
        <v>51501</v>
      </c>
      <c r="V15" s="9"/>
    </row>
    <row r="16" spans="1:26" x14ac:dyDescent="0.35">
      <c r="A16">
        <v>1</v>
      </c>
      <c r="B16" s="4">
        <v>0.36</v>
      </c>
      <c r="C16">
        <v>360</v>
      </c>
      <c r="D16">
        <v>95</v>
      </c>
      <c r="E16" s="104">
        <v>1.1279999999999999</v>
      </c>
      <c r="F16" s="5" t="s">
        <v>311</v>
      </c>
      <c r="G16" t="s">
        <v>312</v>
      </c>
      <c r="H16" s="6">
        <v>44667</v>
      </c>
      <c r="I16" s="6">
        <v>51501</v>
      </c>
      <c r="J16" s="12"/>
      <c r="L16">
        <v>6</v>
      </c>
      <c r="M16" s="4">
        <f t="shared" si="0"/>
        <v>0.35499999999999998</v>
      </c>
      <c r="N16">
        <v>355</v>
      </c>
      <c r="O16">
        <v>2.13</v>
      </c>
      <c r="P16">
        <v>95</v>
      </c>
      <c r="Q16">
        <v>4.9371</v>
      </c>
      <c r="R16" s="5" t="s">
        <v>313</v>
      </c>
      <c r="S16" t="s">
        <v>314</v>
      </c>
      <c r="T16" s="6">
        <v>44667</v>
      </c>
      <c r="U16" s="6">
        <v>51501</v>
      </c>
      <c r="V16" s="9"/>
    </row>
    <row r="17" spans="1:22" x14ac:dyDescent="0.35">
      <c r="A17">
        <v>1</v>
      </c>
      <c r="B17" s="4">
        <v>0.375</v>
      </c>
      <c r="C17">
        <v>375</v>
      </c>
      <c r="D17">
        <v>95</v>
      </c>
      <c r="E17" s="104">
        <v>1.1755</v>
      </c>
      <c r="F17" s="5" t="s">
        <v>315</v>
      </c>
      <c r="G17" t="s">
        <v>316</v>
      </c>
      <c r="H17" s="6">
        <v>44667</v>
      </c>
      <c r="I17" s="6">
        <v>51501</v>
      </c>
      <c r="J17" s="12"/>
      <c r="L17">
        <v>8</v>
      </c>
      <c r="M17" s="4">
        <f t="shared" si="0"/>
        <v>0.33</v>
      </c>
      <c r="N17">
        <v>330</v>
      </c>
      <c r="O17">
        <v>2.64</v>
      </c>
      <c r="P17">
        <v>95</v>
      </c>
      <c r="Q17">
        <v>6.0228999999999999</v>
      </c>
      <c r="R17" s="5" t="s">
        <v>317</v>
      </c>
      <c r="S17" t="s">
        <v>318</v>
      </c>
      <c r="T17" s="6">
        <v>44667</v>
      </c>
      <c r="U17" s="6">
        <v>51501</v>
      </c>
      <c r="V17" s="9"/>
    </row>
    <row r="18" spans="1:22" x14ac:dyDescent="0.35">
      <c r="A18">
        <v>1</v>
      </c>
      <c r="B18" s="4">
        <v>0.4</v>
      </c>
      <c r="C18">
        <v>400</v>
      </c>
      <c r="D18">
        <v>95</v>
      </c>
      <c r="E18" s="104">
        <v>1.2529999999999999</v>
      </c>
      <c r="F18" s="5" t="s">
        <v>319</v>
      </c>
      <c r="G18" t="s">
        <v>320</v>
      </c>
      <c r="H18" s="6">
        <v>44667</v>
      </c>
      <c r="I18" s="6">
        <v>51501</v>
      </c>
      <c r="J18" s="12"/>
      <c r="L18">
        <v>8</v>
      </c>
      <c r="M18" s="4">
        <f t="shared" si="0"/>
        <v>0.34100000000000003</v>
      </c>
      <c r="N18">
        <v>341</v>
      </c>
      <c r="O18">
        <v>2.7280000000000002</v>
      </c>
      <c r="P18">
        <v>95</v>
      </c>
      <c r="Q18">
        <v>5.6982999999999997</v>
      </c>
      <c r="R18" s="5" t="s">
        <v>321</v>
      </c>
      <c r="S18" t="s">
        <v>322</v>
      </c>
      <c r="T18" s="6">
        <v>44667</v>
      </c>
      <c r="U18" s="6">
        <v>51501</v>
      </c>
      <c r="V18" s="9"/>
    </row>
    <row r="19" spans="1:22" x14ac:dyDescent="0.35">
      <c r="A19">
        <v>1</v>
      </c>
      <c r="B19" s="4">
        <v>0.44</v>
      </c>
      <c r="C19">
        <v>440</v>
      </c>
      <c r="D19">
        <v>95</v>
      </c>
      <c r="E19" s="104">
        <v>1.3786</v>
      </c>
      <c r="F19" s="5" t="s">
        <v>323</v>
      </c>
      <c r="G19" t="s">
        <v>324</v>
      </c>
      <c r="H19" s="6">
        <v>44667</v>
      </c>
      <c r="I19" s="6">
        <v>51501</v>
      </c>
      <c r="J19" s="12"/>
      <c r="L19">
        <v>8</v>
      </c>
      <c r="M19" s="4">
        <f t="shared" si="0"/>
        <v>0.35499999999999998</v>
      </c>
      <c r="N19">
        <v>355</v>
      </c>
      <c r="O19">
        <v>2.84</v>
      </c>
      <c r="P19">
        <v>95</v>
      </c>
      <c r="Q19">
        <v>6.4793000000000003</v>
      </c>
      <c r="R19" s="5" t="s">
        <v>325</v>
      </c>
      <c r="S19" t="s">
        <v>326</v>
      </c>
      <c r="T19" s="6">
        <v>44667</v>
      </c>
      <c r="U19" s="6">
        <v>51501</v>
      </c>
      <c r="V19" s="9"/>
    </row>
    <row r="20" spans="1:22" x14ac:dyDescent="0.35">
      <c r="A20">
        <v>1</v>
      </c>
      <c r="B20" s="4">
        <v>0.45800000000000002</v>
      </c>
      <c r="C20">
        <v>458</v>
      </c>
      <c r="D20">
        <v>95</v>
      </c>
      <c r="E20" s="104">
        <v>1.4356</v>
      </c>
      <c r="F20" s="5" t="s">
        <v>327</v>
      </c>
      <c r="G20" t="s">
        <v>328</v>
      </c>
      <c r="H20" s="6">
        <v>44667</v>
      </c>
      <c r="I20" s="6">
        <v>51501</v>
      </c>
      <c r="J20" s="12"/>
      <c r="L20">
        <v>8</v>
      </c>
      <c r="M20" s="4">
        <f t="shared" si="0"/>
        <v>0.44</v>
      </c>
      <c r="N20">
        <v>440</v>
      </c>
      <c r="O20">
        <v>3.52</v>
      </c>
      <c r="P20">
        <v>95</v>
      </c>
      <c r="Q20">
        <v>8.1600999999999999</v>
      </c>
      <c r="R20" s="5" t="s">
        <v>329</v>
      </c>
      <c r="S20" t="s">
        <v>330</v>
      </c>
      <c r="T20" s="6">
        <v>44667</v>
      </c>
      <c r="U20" s="6">
        <v>51501</v>
      </c>
      <c r="V20" s="9"/>
    </row>
    <row r="21" spans="1:22" x14ac:dyDescent="0.35">
      <c r="A21">
        <v>1</v>
      </c>
      <c r="B21" s="4">
        <v>0.47299999999999998</v>
      </c>
      <c r="C21">
        <v>473</v>
      </c>
      <c r="D21">
        <v>95</v>
      </c>
      <c r="E21" s="104">
        <v>1.4826999999999999</v>
      </c>
      <c r="F21" s="5" t="s">
        <v>331</v>
      </c>
      <c r="G21" t="s">
        <v>332</v>
      </c>
      <c r="H21" s="6">
        <v>44667</v>
      </c>
      <c r="I21" s="6">
        <v>51501</v>
      </c>
      <c r="J21" s="12"/>
      <c r="L21">
        <v>8</v>
      </c>
      <c r="M21" s="4">
        <f t="shared" si="0"/>
        <v>0.5</v>
      </c>
      <c r="N21">
        <v>500</v>
      </c>
      <c r="O21">
        <v>4</v>
      </c>
      <c r="P21">
        <v>95</v>
      </c>
      <c r="Q21">
        <v>9.2729999999999997</v>
      </c>
      <c r="R21" s="5" t="s">
        <v>333</v>
      </c>
      <c r="S21" t="s">
        <v>334</v>
      </c>
      <c r="T21" s="6">
        <v>44667</v>
      </c>
      <c r="U21" s="6">
        <v>51501</v>
      </c>
      <c r="V21" s="9"/>
    </row>
    <row r="22" spans="1:22" x14ac:dyDescent="0.35">
      <c r="A22">
        <v>1</v>
      </c>
      <c r="B22" s="4">
        <v>0.5</v>
      </c>
      <c r="C22">
        <v>500</v>
      </c>
      <c r="D22">
        <v>95</v>
      </c>
      <c r="E22" s="104">
        <v>1.5108999999999999</v>
      </c>
      <c r="F22" s="5" t="s">
        <v>335</v>
      </c>
      <c r="G22" t="s">
        <v>336</v>
      </c>
      <c r="H22" s="6">
        <v>44667</v>
      </c>
      <c r="I22" s="6">
        <v>51501</v>
      </c>
      <c r="J22" s="12"/>
      <c r="L22">
        <v>12</v>
      </c>
      <c r="M22" s="4">
        <f t="shared" si="0"/>
        <v>0.23599999999999999</v>
      </c>
      <c r="N22">
        <v>236</v>
      </c>
      <c r="O22">
        <v>2.8319999999999999</v>
      </c>
      <c r="P22">
        <v>95</v>
      </c>
      <c r="Q22">
        <v>6.4608999999999996</v>
      </c>
      <c r="R22" s="5" t="s">
        <v>337</v>
      </c>
      <c r="S22" t="s">
        <v>338</v>
      </c>
      <c r="T22" s="6">
        <v>44667</v>
      </c>
      <c r="U22" s="6">
        <v>51501</v>
      </c>
      <c r="V22" s="9"/>
    </row>
    <row r="23" spans="1:22" x14ac:dyDescent="0.35">
      <c r="A23">
        <v>1</v>
      </c>
      <c r="B23" s="4">
        <v>0.65</v>
      </c>
      <c r="C23">
        <v>650</v>
      </c>
      <c r="D23">
        <v>95</v>
      </c>
      <c r="E23" s="104">
        <v>1.9641999999999999</v>
      </c>
      <c r="F23" s="5" t="s">
        <v>339</v>
      </c>
      <c r="G23" t="s">
        <v>340</v>
      </c>
      <c r="H23" s="6">
        <v>44667</v>
      </c>
      <c r="I23" s="6">
        <v>51501</v>
      </c>
      <c r="J23" s="12"/>
      <c r="L23">
        <v>12</v>
      </c>
      <c r="M23" s="4">
        <f t="shared" si="0"/>
        <v>0.33</v>
      </c>
      <c r="N23">
        <v>330</v>
      </c>
      <c r="O23">
        <v>3.96</v>
      </c>
      <c r="P23">
        <v>95</v>
      </c>
      <c r="Q23">
        <v>9.1797000000000004</v>
      </c>
      <c r="R23" s="5" t="s">
        <v>341</v>
      </c>
      <c r="S23" t="s">
        <v>342</v>
      </c>
      <c r="T23" s="6">
        <v>44667</v>
      </c>
      <c r="U23" s="6">
        <v>51501</v>
      </c>
      <c r="V23" s="9"/>
    </row>
    <row r="24" spans="1:22" x14ac:dyDescent="0.35">
      <c r="A24">
        <v>1</v>
      </c>
      <c r="B24" s="4">
        <v>0.69499999999999995</v>
      </c>
      <c r="C24">
        <v>695</v>
      </c>
      <c r="D24">
        <v>95</v>
      </c>
      <c r="E24" s="104">
        <v>2.0670999999999999</v>
      </c>
      <c r="F24" s="5" t="s">
        <v>343</v>
      </c>
      <c r="G24" t="s">
        <v>344</v>
      </c>
      <c r="H24" s="6">
        <v>44667</v>
      </c>
      <c r="I24" s="6">
        <v>51501</v>
      </c>
      <c r="J24" s="12"/>
      <c r="L24">
        <v>12</v>
      </c>
      <c r="M24" s="4">
        <f t="shared" si="0"/>
        <v>0.34100000000000003</v>
      </c>
      <c r="N24">
        <v>341</v>
      </c>
      <c r="O24">
        <v>4.0919999999999996</v>
      </c>
      <c r="P24">
        <v>95</v>
      </c>
      <c r="Q24">
        <v>12.8203</v>
      </c>
      <c r="R24" s="5" t="s">
        <v>345</v>
      </c>
      <c r="S24" t="s">
        <v>346</v>
      </c>
      <c r="T24" s="6">
        <v>44667</v>
      </c>
      <c r="U24" s="6">
        <v>51501</v>
      </c>
      <c r="V24" s="9"/>
    </row>
    <row r="25" spans="1:22" x14ac:dyDescent="0.35">
      <c r="A25">
        <v>1</v>
      </c>
      <c r="B25" s="4">
        <v>0.7</v>
      </c>
      <c r="C25">
        <v>700</v>
      </c>
      <c r="D25">
        <v>95</v>
      </c>
      <c r="E25" s="104">
        <v>2.1154000000000002</v>
      </c>
      <c r="F25" s="5" t="s">
        <v>347</v>
      </c>
      <c r="G25" t="s">
        <v>348</v>
      </c>
      <c r="H25" s="6">
        <v>44667</v>
      </c>
      <c r="I25" s="6">
        <v>51501</v>
      </c>
      <c r="J25" s="12"/>
      <c r="L25">
        <v>12</v>
      </c>
      <c r="M25" s="4">
        <f t="shared" si="0"/>
        <v>0.35499999999999998</v>
      </c>
      <c r="N25">
        <v>355</v>
      </c>
      <c r="O25">
        <v>4.26</v>
      </c>
      <c r="P25">
        <v>95</v>
      </c>
      <c r="Q25">
        <v>9.8742999999999999</v>
      </c>
      <c r="R25" s="5" t="s">
        <v>349</v>
      </c>
      <c r="S25" t="s">
        <v>350</v>
      </c>
      <c r="T25" s="6">
        <v>44667</v>
      </c>
      <c r="U25" s="6">
        <v>51501</v>
      </c>
      <c r="V25" s="9"/>
    </row>
    <row r="26" spans="1:22" x14ac:dyDescent="0.35">
      <c r="A26">
        <v>1</v>
      </c>
      <c r="B26" s="4">
        <v>0.71</v>
      </c>
      <c r="C26">
        <v>710</v>
      </c>
      <c r="D26">
        <v>95</v>
      </c>
      <c r="E26" s="104">
        <v>2.1347</v>
      </c>
      <c r="F26" s="5" t="s">
        <v>351</v>
      </c>
      <c r="G26" t="s">
        <v>352</v>
      </c>
      <c r="H26" s="6">
        <v>44667</v>
      </c>
      <c r="I26" s="6">
        <v>51501</v>
      </c>
      <c r="J26" s="12"/>
      <c r="L26">
        <v>24</v>
      </c>
      <c r="M26" s="4">
        <f t="shared" si="0"/>
        <v>0.33</v>
      </c>
      <c r="N26">
        <v>330</v>
      </c>
      <c r="O26">
        <v>7.92</v>
      </c>
      <c r="P26">
        <v>95</v>
      </c>
      <c r="Q26">
        <v>18.357199999999999</v>
      </c>
      <c r="R26" s="5" t="s">
        <v>353</v>
      </c>
      <c r="S26" t="s">
        <v>354</v>
      </c>
      <c r="T26" s="6">
        <v>44667</v>
      </c>
      <c r="U26" s="6">
        <v>51501</v>
      </c>
      <c r="V26" s="9"/>
    </row>
    <row r="27" spans="1:22" x14ac:dyDescent="0.35">
      <c r="A27">
        <v>1</v>
      </c>
      <c r="B27" s="4">
        <v>0.72</v>
      </c>
      <c r="C27">
        <v>720</v>
      </c>
      <c r="D27">
        <v>95</v>
      </c>
      <c r="E27" s="104">
        <v>2.1749000000000001</v>
      </c>
      <c r="F27" s="5" t="s">
        <v>355</v>
      </c>
      <c r="G27" t="s">
        <v>356</v>
      </c>
      <c r="H27" s="6">
        <v>44667</v>
      </c>
      <c r="I27" s="6">
        <v>51501</v>
      </c>
      <c r="J27" s="12"/>
      <c r="L27">
        <v>24</v>
      </c>
      <c r="M27" s="4">
        <f t="shared" si="0"/>
        <v>0.35499999999999998</v>
      </c>
      <c r="N27">
        <v>355</v>
      </c>
      <c r="O27">
        <v>8.52</v>
      </c>
      <c r="P27">
        <v>95</v>
      </c>
      <c r="Q27">
        <v>19.748200000000001</v>
      </c>
      <c r="R27" s="5" t="s">
        <v>357</v>
      </c>
      <c r="S27" t="s">
        <v>358</v>
      </c>
      <c r="T27" s="6">
        <v>44667</v>
      </c>
      <c r="U27" s="6">
        <v>51501</v>
      </c>
      <c r="V27" s="9"/>
    </row>
    <row r="28" spans="1:22" x14ac:dyDescent="0.35">
      <c r="A28">
        <v>1</v>
      </c>
      <c r="B28" s="4">
        <v>0.75</v>
      </c>
      <c r="C28">
        <v>750</v>
      </c>
      <c r="D28">
        <v>95</v>
      </c>
      <c r="E28" s="104">
        <v>2.2664</v>
      </c>
      <c r="F28" s="5" t="s">
        <v>359</v>
      </c>
      <c r="G28" t="s">
        <v>360</v>
      </c>
      <c r="H28" s="6">
        <v>44667</v>
      </c>
      <c r="I28" s="6">
        <v>51501</v>
      </c>
      <c r="J28" s="12"/>
      <c r="L28">
        <v>24</v>
      </c>
      <c r="M28" s="4">
        <f t="shared" si="0"/>
        <v>0.4</v>
      </c>
      <c r="N28">
        <v>400</v>
      </c>
      <c r="O28">
        <v>9.6</v>
      </c>
      <c r="P28">
        <v>95</v>
      </c>
      <c r="Q28">
        <v>22.2516</v>
      </c>
      <c r="R28" s="5" t="s">
        <v>361</v>
      </c>
      <c r="S28" t="s">
        <v>362</v>
      </c>
      <c r="T28" s="6">
        <v>44667</v>
      </c>
      <c r="U28" s="6">
        <v>51501</v>
      </c>
      <c r="V28" s="9"/>
    </row>
    <row r="29" spans="1:22" x14ac:dyDescent="0.35">
      <c r="A29">
        <v>1</v>
      </c>
      <c r="B29" s="4">
        <v>0.91</v>
      </c>
      <c r="C29">
        <v>910</v>
      </c>
      <c r="D29">
        <v>95</v>
      </c>
      <c r="E29" s="104">
        <v>2.7503000000000002</v>
      </c>
      <c r="F29" s="5" t="s">
        <v>363</v>
      </c>
      <c r="G29" t="s">
        <v>364</v>
      </c>
      <c r="H29" s="6">
        <v>44667</v>
      </c>
      <c r="I29" s="6">
        <v>51501</v>
      </c>
      <c r="J29" s="12"/>
      <c r="L29">
        <v>12</v>
      </c>
      <c r="M29" s="4">
        <f t="shared" si="0"/>
        <v>0.4</v>
      </c>
      <c r="N29">
        <v>400</v>
      </c>
      <c r="O29">
        <v>4.8</v>
      </c>
      <c r="P29">
        <v>95</v>
      </c>
      <c r="Q29">
        <v>11.1275</v>
      </c>
      <c r="R29" s="5" t="s">
        <v>921</v>
      </c>
      <c r="S29" t="s">
        <v>922</v>
      </c>
      <c r="T29" s="6">
        <v>44667</v>
      </c>
      <c r="U29" s="6">
        <v>51501</v>
      </c>
      <c r="V29" s="9"/>
    </row>
    <row r="30" spans="1:22" x14ac:dyDescent="0.35">
      <c r="A30">
        <v>1</v>
      </c>
      <c r="B30" s="4">
        <v>0.94599999999999995</v>
      </c>
      <c r="C30">
        <v>946</v>
      </c>
      <c r="D30">
        <v>95</v>
      </c>
      <c r="E30" s="104">
        <v>2.8005</v>
      </c>
      <c r="F30" s="5" t="s">
        <v>365</v>
      </c>
      <c r="G30" t="s">
        <v>366</v>
      </c>
      <c r="H30" s="6">
        <v>44667</v>
      </c>
      <c r="I30" s="6">
        <v>51501</v>
      </c>
      <c r="J30" s="12"/>
      <c r="L30">
        <v>4</v>
      </c>
      <c r="M30" s="4">
        <f t="shared" si="0"/>
        <v>0.44</v>
      </c>
      <c r="N30">
        <v>440</v>
      </c>
      <c r="O30">
        <v>1.76</v>
      </c>
      <c r="P30">
        <v>95</v>
      </c>
      <c r="Q30">
        <v>5.5141999999999998</v>
      </c>
      <c r="R30" s="5" t="s">
        <v>923</v>
      </c>
      <c r="S30" t="s">
        <v>924</v>
      </c>
      <c r="T30" s="6">
        <v>44667</v>
      </c>
      <c r="U30" s="6">
        <v>51501</v>
      </c>
      <c r="V30" s="9"/>
    </row>
    <row r="31" spans="1:22" x14ac:dyDescent="0.35">
      <c r="A31">
        <v>1</v>
      </c>
      <c r="B31" s="4">
        <v>1</v>
      </c>
      <c r="C31">
        <v>1000</v>
      </c>
      <c r="D31">
        <v>95</v>
      </c>
      <c r="E31" s="104">
        <v>3.0219</v>
      </c>
      <c r="F31" s="5" t="s">
        <v>367</v>
      </c>
      <c r="G31" t="s">
        <v>368</v>
      </c>
      <c r="H31" s="6">
        <v>44667</v>
      </c>
      <c r="I31" s="6">
        <v>51501</v>
      </c>
      <c r="J31" s="12"/>
      <c r="L31">
        <v>4</v>
      </c>
      <c r="M31" s="4">
        <f t="shared" si="0"/>
        <v>0.15</v>
      </c>
      <c r="N31">
        <v>150</v>
      </c>
      <c r="O31">
        <v>0.6</v>
      </c>
      <c r="P31">
        <v>95</v>
      </c>
      <c r="Q31">
        <v>1.8129</v>
      </c>
      <c r="R31" s="5" t="s">
        <v>925</v>
      </c>
      <c r="S31" t="s">
        <v>926</v>
      </c>
      <c r="T31" s="6">
        <v>44667</v>
      </c>
      <c r="U31" s="6">
        <v>51501</v>
      </c>
      <c r="V31" s="9"/>
    </row>
    <row r="32" spans="1:22" x14ac:dyDescent="0.35">
      <c r="A32">
        <v>1</v>
      </c>
      <c r="B32" s="4">
        <v>1.1399999999999999</v>
      </c>
      <c r="C32">
        <v>1140</v>
      </c>
      <c r="D32">
        <v>95</v>
      </c>
      <c r="E32" s="104">
        <v>3.4449000000000001</v>
      </c>
      <c r="F32" s="5" t="s">
        <v>369</v>
      </c>
      <c r="G32" t="s">
        <v>370</v>
      </c>
      <c r="H32" s="6">
        <v>44667</v>
      </c>
      <c r="I32" s="6">
        <v>51501</v>
      </c>
      <c r="J32" s="12"/>
      <c r="L32">
        <v>4</v>
      </c>
      <c r="M32" s="4">
        <f t="shared" si="0"/>
        <v>0.27</v>
      </c>
      <c r="N32">
        <v>270</v>
      </c>
      <c r="O32">
        <v>1.08</v>
      </c>
      <c r="P32">
        <v>95</v>
      </c>
      <c r="Q32">
        <v>3.3835000000000002</v>
      </c>
      <c r="R32" s="5" t="s">
        <v>927</v>
      </c>
      <c r="S32" t="s">
        <v>928</v>
      </c>
      <c r="T32" s="6">
        <v>44667</v>
      </c>
      <c r="U32" s="6">
        <v>51501</v>
      </c>
      <c r="V32" s="9"/>
    </row>
    <row r="33" spans="1:22" x14ac:dyDescent="0.35">
      <c r="A33">
        <v>1</v>
      </c>
      <c r="B33" s="4">
        <v>1.5</v>
      </c>
      <c r="C33">
        <v>1500</v>
      </c>
      <c r="D33">
        <v>95</v>
      </c>
      <c r="E33" s="104">
        <v>4.0754000000000001</v>
      </c>
      <c r="F33" s="5" t="s">
        <v>371</v>
      </c>
      <c r="G33" t="s">
        <v>372</v>
      </c>
      <c r="H33" s="6">
        <v>44667</v>
      </c>
      <c r="I33" s="6">
        <v>51501</v>
      </c>
      <c r="J33" s="12"/>
      <c r="L33">
        <v>8</v>
      </c>
      <c r="M33" s="4">
        <f t="shared" si="0"/>
        <v>0.47299999999999998</v>
      </c>
      <c r="N33">
        <v>473</v>
      </c>
      <c r="O33">
        <v>3.7839999999999998</v>
      </c>
      <c r="P33">
        <v>95</v>
      </c>
      <c r="Q33">
        <v>7.9024999999999999</v>
      </c>
      <c r="R33" s="5" t="s">
        <v>929</v>
      </c>
      <c r="S33" t="s">
        <v>930</v>
      </c>
      <c r="T33" s="6">
        <v>44667</v>
      </c>
      <c r="U33" s="6">
        <v>51501</v>
      </c>
      <c r="V33" s="9"/>
    </row>
    <row r="34" spans="1:22" x14ac:dyDescent="0.35">
      <c r="A34">
        <v>1</v>
      </c>
      <c r="B34" s="4">
        <v>1.75</v>
      </c>
      <c r="C34">
        <v>1750</v>
      </c>
      <c r="D34">
        <v>95</v>
      </c>
      <c r="E34" s="104">
        <v>4.0614999999999997</v>
      </c>
      <c r="F34" s="5" t="s">
        <v>373</v>
      </c>
      <c r="G34" t="s">
        <v>374</v>
      </c>
      <c r="H34" s="6">
        <v>44667</v>
      </c>
      <c r="I34" s="6">
        <v>51501</v>
      </c>
      <c r="J34" s="12"/>
      <c r="L34">
        <v>6</v>
      </c>
      <c r="M34" s="4">
        <f t="shared" si="0"/>
        <v>0.47299999999999998</v>
      </c>
      <c r="N34">
        <v>473</v>
      </c>
      <c r="O34">
        <v>2.8380000000000001</v>
      </c>
      <c r="P34">
        <v>95</v>
      </c>
      <c r="Q34">
        <v>5.9268999999999998</v>
      </c>
      <c r="R34" s="5" t="s">
        <v>931</v>
      </c>
      <c r="S34" t="s">
        <v>932</v>
      </c>
      <c r="T34" s="6">
        <v>44667</v>
      </c>
      <c r="U34" s="6">
        <v>51501</v>
      </c>
      <c r="V34" s="9"/>
    </row>
    <row r="35" spans="1:22" x14ac:dyDescent="0.35">
      <c r="A35">
        <v>1</v>
      </c>
      <c r="B35" s="4">
        <v>1.89</v>
      </c>
      <c r="C35">
        <v>1890</v>
      </c>
      <c r="D35">
        <v>95</v>
      </c>
      <c r="E35" s="104">
        <v>4.1673</v>
      </c>
      <c r="F35" s="5" t="s">
        <v>375</v>
      </c>
      <c r="G35" t="s">
        <v>376</v>
      </c>
      <c r="H35" s="6">
        <v>44667</v>
      </c>
      <c r="I35" s="6">
        <v>51501</v>
      </c>
      <c r="J35" s="12"/>
      <c r="L35">
        <v>12</v>
      </c>
      <c r="M35" s="4">
        <f t="shared" si="0"/>
        <v>0.47299999999999998</v>
      </c>
      <c r="N35">
        <v>473</v>
      </c>
      <c r="O35">
        <v>5.6760000000000002</v>
      </c>
      <c r="P35">
        <v>95</v>
      </c>
      <c r="Q35">
        <v>11.8538</v>
      </c>
      <c r="R35" s="5" t="s">
        <v>933</v>
      </c>
      <c r="S35" t="s">
        <v>934</v>
      </c>
      <c r="T35" s="6">
        <v>44667</v>
      </c>
      <c r="U35" s="6">
        <v>51501</v>
      </c>
      <c r="V35" s="9"/>
    </row>
    <row r="36" spans="1:22" x14ac:dyDescent="0.35">
      <c r="A36">
        <v>1</v>
      </c>
      <c r="B36" s="4">
        <v>2</v>
      </c>
      <c r="C36">
        <v>2000</v>
      </c>
      <c r="D36">
        <v>95</v>
      </c>
      <c r="E36" s="104">
        <v>4.1779000000000002</v>
      </c>
      <c r="F36" s="5" t="s">
        <v>377</v>
      </c>
      <c r="G36" t="s">
        <v>378</v>
      </c>
      <c r="H36" s="6">
        <v>44667</v>
      </c>
      <c r="I36" s="6">
        <v>51501</v>
      </c>
      <c r="J36" s="12"/>
      <c r="L36">
        <v>24</v>
      </c>
      <c r="M36" s="4">
        <f t="shared" si="0"/>
        <v>0.47299999999999998</v>
      </c>
      <c r="N36">
        <v>473</v>
      </c>
      <c r="O36">
        <v>11.352</v>
      </c>
      <c r="P36">
        <v>95</v>
      </c>
      <c r="Q36">
        <v>23.707599999999999</v>
      </c>
      <c r="R36" s="5" t="s">
        <v>935</v>
      </c>
      <c r="S36" t="s">
        <v>936</v>
      </c>
      <c r="T36" s="6">
        <v>44667</v>
      </c>
      <c r="U36" s="6">
        <v>51501</v>
      </c>
      <c r="V36" s="9"/>
    </row>
    <row r="37" spans="1:22" x14ac:dyDescent="0.35">
      <c r="A37">
        <v>1</v>
      </c>
      <c r="B37" s="4">
        <v>3</v>
      </c>
      <c r="C37">
        <v>3000</v>
      </c>
      <c r="D37">
        <v>95</v>
      </c>
      <c r="E37" s="104">
        <v>6.2670000000000003</v>
      </c>
      <c r="F37" s="5" t="s">
        <v>379</v>
      </c>
      <c r="G37" t="s">
        <v>380</v>
      </c>
      <c r="H37" s="6">
        <v>44667</v>
      </c>
      <c r="I37" s="6">
        <v>51501</v>
      </c>
      <c r="J37" s="12"/>
      <c r="L37">
        <v>15</v>
      </c>
      <c r="M37" s="4">
        <f t="shared" si="0"/>
        <v>0.35499999999999998</v>
      </c>
      <c r="N37">
        <v>355</v>
      </c>
      <c r="O37">
        <v>5.3250000000000002</v>
      </c>
      <c r="P37">
        <v>95</v>
      </c>
      <c r="Q37">
        <v>12.3428</v>
      </c>
      <c r="R37" s="5" t="s">
        <v>937</v>
      </c>
      <c r="S37" t="s">
        <v>938</v>
      </c>
      <c r="T37" s="6">
        <v>44667</v>
      </c>
      <c r="U37" s="6">
        <v>51501</v>
      </c>
      <c r="V37" s="9"/>
    </row>
    <row r="38" spans="1:22" x14ac:dyDescent="0.35">
      <c r="A38">
        <v>1</v>
      </c>
      <c r="B38" s="4">
        <v>4</v>
      </c>
      <c r="C38">
        <v>4000</v>
      </c>
      <c r="D38">
        <v>95</v>
      </c>
      <c r="E38" s="104">
        <v>8.3559000000000001</v>
      </c>
      <c r="F38" s="5" t="s">
        <v>381</v>
      </c>
      <c r="G38" t="s">
        <v>382</v>
      </c>
      <c r="H38" s="6">
        <v>44667</v>
      </c>
      <c r="I38" s="6">
        <v>51501</v>
      </c>
      <c r="J38" s="12"/>
      <c r="L38">
        <v>24</v>
      </c>
      <c r="M38" s="4">
        <f t="shared" si="0"/>
        <v>0.34100000000000003</v>
      </c>
      <c r="N38">
        <v>341</v>
      </c>
      <c r="O38">
        <v>8.1839999999999993</v>
      </c>
      <c r="P38">
        <v>95</v>
      </c>
      <c r="Q38">
        <v>18.969000000000001</v>
      </c>
      <c r="R38" s="5" t="s">
        <v>939</v>
      </c>
      <c r="S38" t="s">
        <v>940</v>
      </c>
      <c r="T38" s="6">
        <v>44667</v>
      </c>
      <c r="U38" s="6">
        <v>51501</v>
      </c>
      <c r="V38" s="9"/>
    </row>
    <row r="39" spans="1:22" x14ac:dyDescent="0.35">
      <c r="A39">
        <v>1</v>
      </c>
      <c r="B39" s="4">
        <v>19.5</v>
      </c>
      <c r="C39">
        <v>19500</v>
      </c>
      <c r="D39">
        <v>95</v>
      </c>
      <c r="E39" s="104">
        <v>40.734900000000003</v>
      </c>
      <c r="F39" s="5" t="s">
        <v>383</v>
      </c>
      <c r="G39" t="s">
        <v>384</v>
      </c>
      <c r="H39" s="6">
        <v>44667</v>
      </c>
      <c r="I39" s="6">
        <v>51501</v>
      </c>
      <c r="J39" s="12"/>
    </row>
    <row r="40" spans="1:22" x14ac:dyDescent="0.35">
      <c r="A40">
        <v>1</v>
      </c>
      <c r="B40" s="4">
        <v>20</v>
      </c>
      <c r="C40">
        <v>20000</v>
      </c>
      <c r="D40">
        <v>95</v>
      </c>
      <c r="E40" s="104">
        <v>41.779800000000002</v>
      </c>
      <c r="F40" s="5" t="s">
        <v>385</v>
      </c>
      <c r="G40" t="s">
        <v>386</v>
      </c>
      <c r="H40" s="6">
        <v>44667</v>
      </c>
      <c r="I40" s="6">
        <v>51501</v>
      </c>
      <c r="J40" s="12"/>
    </row>
    <row r="41" spans="1:22" x14ac:dyDescent="0.35">
      <c r="A41">
        <v>1</v>
      </c>
      <c r="B41" s="4">
        <v>25</v>
      </c>
      <c r="C41">
        <v>25000</v>
      </c>
      <c r="D41">
        <v>95</v>
      </c>
      <c r="E41" s="104">
        <v>52.222999999999999</v>
      </c>
      <c r="F41" s="5" t="s">
        <v>387</v>
      </c>
      <c r="G41" t="s">
        <v>388</v>
      </c>
      <c r="H41" s="6">
        <v>44667</v>
      </c>
      <c r="I41" s="6">
        <v>51501</v>
      </c>
      <c r="J41" s="12"/>
    </row>
    <row r="42" spans="1:22" x14ac:dyDescent="0.35">
      <c r="A42">
        <v>1</v>
      </c>
      <c r="B42" s="4">
        <v>30</v>
      </c>
      <c r="C42">
        <v>30000</v>
      </c>
      <c r="D42">
        <v>95</v>
      </c>
      <c r="E42" s="104">
        <v>62.669699999999999</v>
      </c>
      <c r="F42" s="5" t="s">
        <v>389</v>
      </c>
      <c r="G42" t="s">
        <v>390</v>
      </c>
      <c r="H42" s="6">
        <v>44667</v>
      </c>
      <c r="I42" s="6">
        <v>51501</v>
      </c>
      <c r="J42" s="12"/>
    </row>
    <row r="43" spans="1:22" x14ac:dyDescent="0.35">
      <c r="A43">
        <v>1</v>
      </c>
      <c r="B43" s="4">
        <v>50</v>
      </c>
      <c r="C43">
        <v>50000</v>
      </c>
      <c r="D43">
        <v>95</v>
      </c>
      <c r="E43" s="104">
        <v>104.46040000000001</v>
      </c>
      <c r="F43" s="5" t="s">
        <v>391</v>
      </c>
      <c r="G43" t="s">
        <v>392</v>
      </c>
      <c r="H43" s="6">
        <v>44667</v>
      </c>
      <c r="I43" s="6">
        <v>51501</v>
      </c>
      <c r="J43" s="12"/>
    </row>
    <row r="44" spans="1:22" x14ac:dyDescent="0.35">
      <c r="A44">
        <v>1</v>
      </c>
      <c r="B44" s="4">
        <v>58.5</v>
      </c>
      <c r="C44">
        <v>58500</v>
      </c>
      <c r="D44">
        <v>95</v>
      </c>
      <c r="E44" s="104">
        <v>118.19499999999999</v>
      </c>
      <c r="F44" s="5" t="s">
        <v>393</v>
      </c>
      <c r="G44" t="s">
        <v>394</v>
      </c>
      <c r="H44" s="6">
        <v>44667</v>
      </c>
      <c r="I44" s="6">
        <v>51501</v>
      </c>
      <c r="J44" s="12"/>
    </row>
    <row r="45" spans="1:22" x14ac:dyDescent="0.35">
      <c r="A45">
        <v>1</v>
      </c>
      <c r="B45" s="4">
        <v>58.6</v>
      </c>
      <c r="C45">
        <v>58600</v>
      </c>
      <c r="D45">
        <v>95</v>
      </c>
      <c r="E45" s="104">
        <v>118.39660000000001</v>
      </c>
      <c r="F45" s="5" t="s">
        <v>395</v>
      </c>
      <c r="G45" t="s">
        <v>396</v>
      </c>
      <c r="H45" s="6">
        <v>44667</v>
      </c>
      <c r="I45" s="6">
        <v>51501</v>
      </c>
      <c r="J45" s="12"/>
    </row>
    <row r="46" spans="1:22" x14ac:dyDescent="0.35">
      <c r="A46">
        <v>1</v>
      </c>
      <c r="B46" s="4">
        <v>0.37</v>
      </c>
      <c r="C46">
        <v>370</v>
      </c>
      <c r="D46">
        <v>95</v>
      </c>
      <c r="E46" s="104">
        <v>1.1598999999999999</v>
      </c>
      <c r="F46" t="s">
        <v>913</v>
      </c>
      <c r="G46" t="s">
        <v>914</v>
      </c>
      <c r="H46" s="6">
        <v>44667</v>
      </c>
      <c r="I46" s="6">
        <v>51501</v>
      </c>
      <c r="J46" s="12"/>
    </row>
    <row r="47" spans="1:22" x14ac:dyDescent="0.35">
      <c r="A47">
        <v>1</v>
      </c>
      <c r="B47" s="4">
        <v>29.33</v>
      </c>
      <c r="C47">
        <v>29330</v>
      </c>
      <c r="D47">
        <v>95</v>
      </c>
      <c r="E47" s="104">
        <v>61.27</v>
      </c>
      <c r="F47" t="s">
        <v>915</v>
      </c>
      <c r="G47" t="s">
        <v>916</v>
      </c>
      <c r="H47" s="6">
        <v>44667</v>
      </c>
      <c r="I47" s="6">
        <v>51501</v>
      </c>
      <c r="J47" s="12"/>
    </row>
    <row r="48" spans="1:22" x14ac:dyDescent="0.35">
      <c r="A48">
        <v>1</v>
      </c>
      <c r="B48" s="4">
        <v>10</v>
      </c>
      <c r="C48">
        <v>10000</v>
      </c>
      <c r="D48">
        <v>95</v>
      </c>
      <c r="E48" s="104">
        <v>20.889700000000001</v>
      </c>
      <c r="F48" t="s">
        <v>917</v>
      </c>
      <c r="G48" t="s">
        <v>918</v>
      </c>
      <c r="H48" s="6">
        <v>44667</v>
      </c>
      <c r="I48" s="6">
        <v>51501</v>
      </c>
      <c r="J48" s="12"/>
    </row>
    <row r="49" spans="1:10" x14ac:dyDescent="0.35">
      <c r="A49">
        <v>1</v>
      </c>
      <c r="B49" s="4">
        <v>19</v>
      </c>
      <c r="C49">
        <v>19000</v>
      </c>
      <c r="D49">
        <v>95</v>
      </c>
      <c r="E49" s="104">
        <v>39.690199999999997</v>
      </c>
      <c r="F49" t="s">
        <v>919</v>
      </c>
      <c r="G49" t="s">
        <v>920</v>
      </c>
      <c r="H49" s="6">
        <v>44667</v>
      </c>
      <c r="I49" s="6">
        <v>51501</v>
      </c>
      <c r="J49" s="12"/>
    </row>
    <row r="50" spans="1:10" x14ac:dyDescent="0.35">
      <c r="B50" s="4"/>
      <c r="E50" s="104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M71"/>
  <sheetViews>
    <sheetView workbookViewId="0">
      <selection activeCell="A10" sqref="A10"/>
    </sheetView>
  </sheetViews>
  <sheetFormatPr defaultRowHeight="14.5" x14ac:dyDescent="0.35"/>
  <cols>
    <col min="5" max="5" width="17.26953125" bestFit="1" customWidth="1"/>
    <col min="7" max="7" width="26.7265625" bestFit="1" customWidth="1"/>
    <col min="8" max="8" width="12.453125" bestFit="1" customWidth="1"/>
    <col min="9" max="9" width="10.7265625" bestFit="1" customWidth="1"/>
    <col min="10" max="10" width="6.453125" bestFit="1" customWidth="1"/>
    <col min="11" max="11" width="2.1796875" style="11" customWidth="1"/>
    <col min="17" max="17" width="17.26953125" bestFit="1" customWidth="1"/>
    <col min="19" max="19" width="26.7265625" bestFit="1" customWidth="1"/>
    <col min="20" max="20" width="12.453125" customWidth="1"/>
    <col min="21" max="21" width="10.7265625" bestFit="1" customWidth="1"/>
    <col min="22" max="22" width="8.1796875" customWidth="1"/>
    <col min="23" max="23" width="2.1796875" style="11" customWidth="1"/>
    <col min="25" max="25" width="10.7265625" bestFit="1" customWidth="1"/>
    <col min="31" max="31" width="17.81640625" customWidth="1"/>
    <col min="32" max="32" width="13.81640625" customWidth="1"/>
    <col min="33" max="33" width="10.81640625" customWidth="1"/>
    <col min="34" max="34" width="11" bestFit="1" customWidth="1"/>
    <col min="35" max="35" width="1.81640625" customWidth="1"/>
    <col min="38" max="38" width="9.1796875" style="4"/>
    <col min="40" max="40" width="9.1796875" style="4"/>
    <col min="44" max="44" width="27.54296875" customWidth="1"/>
    <col min="45" max="45" width="13.54296875" bestFit="1" customWidth="1"/>
    <col min="46" max="46" width="11" bestFit="1" customWidth="1"/>
    <col min="47" max="47" width="6.453125" bestFit="1" customWidth="1"/>
    <col min="48" max="48" width="1.81640625" customWidth="1"/>
    <col min="57" max="57" width="27.7265625" bestFit="1" customWidth="1"/>
    <col min="58" max="58" width="13.54296875" bestFit="1" customWidth="1"/>
    <col min="59" max="59" width="11" bestFit="1" customWidth="1"/>
    <col min="61" max="61" width="2" customWidth="1"/>
  </cols>
  <sheetData>
    <row r="1" spans="1:65" x14ac:dyDescent="0.35">
      <c r="A1" s="1" t="s">
        <v>397</v>
      </c>
      <c r="K1" s="9"/>
      <c r="M1" s="1" t="s">
        <v>398</v>
      </c>
      <c r="W1" s="9"/>
      <c r="Y1" s="1" t="s">
        <v>399</v>
      </c>
      <c r="AK1" s="1" t="s">
        <v>400</v>
      </c>
      <c r="AX1" s="1" t="s">
        <v>401</v>
      </c>
      <c r="BK1" t="s">
        <v>863</v>
      </c>
    </row>
    <row r="2" spans="1:6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858</v>
      </c>
      <c r="BL2" t="s">
        <v>859</v>
      </c>
      <c r="BM2" t="s">
        <v>860</v>
      </c>
    </row>
    <row r="3" spans="1:65" x14ac:dyDescent="0.35">
      <c r="A3">
        <v>1</v>
      </c>
      <c r="B3" s="4">
        <v>1</v>
      </c>
      <c r="C3">
        <v>1000</v>
      </c>
      <c r="D3">
        <v>75</v>
      </c>
      <c r="E3">
        <v>2.1812</v>
      </c>
      <c r="F3" s="5" t="s">
        <v>402</v>
      </c>
      <c r="G3" t="s">
        <v>403</v>
      </c>
      <c r="H3" s="6">
        <v>44667</v>
      </c>
      <c r="I3" s="6">
        <v>51501</v>
      </c>
      <c r="J3" t="s">
        <v>404</v>
      </c>
      <c r="K3" s="9"/>
      <c r="M3">
        <v>1</v>
      </c>
      <c r="N3" s="4">
        <v>1</v>
      </c>
      <c r="O3">
        <v>1000</v>
      </c>
      <c r="P3">
        <v>75</v>
      </c>
      <c r="Q3">
        <v>1.9585999999999999</v>
      </c>
      <c r="R3" s="5" t="s">
        <v>405</v>
      </c>
      <c r="S3" t="s">
        <v>406</v>
      </c>
      <c r="T3" s="6">
        <v>44667</v>
      </c>
      <c r="U3" s="6">
        <v>51501</v>
      </c>
      <c r="V3" t="s">
        <v>407</v>
      </c>
      <c r="W3" s="9"/>
      <c r="Y3">
        <v>1</v>
      </c>
      <c r="Z3" s="4">
        <f t="shared" ref="Z3:Z13" si="0">AA3/1000</f>
        <v>19</v>
      </c>
      <c r="AA3">
        <v>19000</v>
      </c>
      <c r="AB3">
        <v>75</v>
      </c>
      <c r="AC3">
        <v>27.488099999999999</v>
      </c>
      <c r="AD3" s="5" t="s">
        <v>408</v>
      </c>
      <c r="AE3" t="s">
        <v>409</v>
      </c>
      <c r="AF3" s="6">
        <v>44667</v>
      </c>
      <c r="AG3" s="6">
        <v>51501</v>
      </c>
      <c r="AH3" t="s">
        <v>410</v>
      </c>
      <c r="AI3" s="9"/>
      <c r="AK3">
        <v>2</v>
      </c>
      <c r="AL3" s="4">
        <f t="shared" ref="AL3:AL45" si="1">AM3/1000</f>
        <v>0.34100000000000003</v>
      </c>
      <c r="AM3">
        <v>341</v>
      </c>
      <c r="AN3" s="4">
        <v>0.68200000000000005</v>
      </c>
      <c r="AO3">
        <v>75</v>
      </c>
      <c r="AP3">
        <v>1.4876</v>
      </c>
      <c r="AQ3" s="5" t="s">
        <v>411</v>
      </c>
      <c r="AR3" t="s">
        <v>412</v>
      </c>
      <c r="AS3" s="6">
        <v>44667</v>
      </c>
      <c r="AT3" s="6">
        <v>51501</v>
      </c>
      <c r="AU3" t="s">
        <v>407</v>
      </c>
      <c r="AV3" s="9"/>
      <c r="AX3">
        <v>6</v>
      </c>
      <c r="AY3" s="4">
        <f t="shared" ref="AY3:AY46" si="2">AZ3/1000</f>
        <v>0.13500000000000001</v>
      </c>
      <c r="AZ3">
        <v>135</v>
      </c>
      <c r="BA3" s="4">
        <v>0.81</v>
      </c>
      <c r="BB3">
        <v>75</v>
      </c>
      <c r="BC3">
        <v>1.7667999999999999</v>
      </c>
      <c r="BD3" s="5" t="s">
        <v>413</v>
      </c>
      <c r="BE3" t="s">
        <v>414</v>
      </c>
      <c r="BF3" s="6">
        <v>44667</v>
      </c>
      <c r="BG3" s="6">
        <v>51501</v>
      </c>
      <c r="BH3" t="s">
        <v>404</v>
      </c>
      <c r="BI3" s="9"/>
      <c r="BK3">
        <v>1</v>
      </c>
      <c r="BL3">
        <v>50.67</v>
      </c>
      <c r="BM3">
        <v>0.95860000000000001</v>
      </c>
    </row>
    <row r="4" spans="1:65" x14ac:dyDescent="0.35">
      <c r="A4">
        <v>1</v>
      </c>
      <c r="B4" s="4">
        <v>10</v>
      </c>
      <c r="C4">
        <v>10000</v>
      </c>
      <c r="D4">
        <v>75</v>
      </c>
      <c r="E4">
        <v>18.918199999999999</v>
      </c>
      <c r="F4" s="5" t="s">
        <v>415</v>
      </c>
      <c r="G4" t="s">
        <v>416</v>
      </c>
      <c r="H4" s="6">
        <v>44667</v>
      </c>
      <c r="I4" s="6">
        <v>51501</v>
      </c>
      <c r="J4" t="s">
        <v>404</v>
      </c>
      <c r="K4" s="9"/>
      <c r="M4">
        <v>1</v>
      </c>
      <c r="N4" s="4">
        <v>1.1830000000000001</v>
      </c>
      <c r="O4">
        <v>1183</v>
      </c>
      <c r="P4">
        <v>75</v>
      </c>
      <c r="Q4">
        <v>2.3170000000000002</v>
      </c>
      <c r="R4" s="5" t="s">
        <v>417</v>
      </c>
      <c r="S4" t="s">
        <v>418</v>
      </c>
      <c r="T4" s="6">
        <v>44667</v>
      </c>
      <c r="U4" s="6">
        <v>51501</v>
      </c>
      <c r="V4" t="s">
        <v>407</v>
      </c>
      <c r="W4" s="9"/>
      <c r="Y4">
        <v>1</v>
      </c>
      <c r="Z4" s="4">
        <f t="shared" si="0"/>
        <v>19.600000000000001</v>
      </c>
      <c r="AA4">
        <v>19600</v>
      </c>
      <c r="AB4">
        <v>75</v>
      </c>
      <c r="AC4">
        <v>28.356200000000001</v>
      </c>
      <c r="AD4" s="5" t="s">
        <v>419</v>
      </c>
      <c r="AE4" t="s">
        <v>420</v>
      </c>
      <c r="AF4" s="6">
        <v>44667</v>
      </c>
      <c r="AG4" s="6">
        <v>51501</v>
      </c>
      <c r="AH4" t="s">
        <v>410</v>
      </c>
      <c r="AI4" s="9"/>
      <c r="AK4">
        <v>3</v>
      </c>
      <c r="AL4" s="4">
        <f t="shared" si="1"/>
        <v>0.33</v>
      </c>
      <c r="AM4">
        <v>330</v>
      </c>
      <c r="AN4" s="4">
        <v>0.99</v>
      </c>
      <c r="AO4">
        <v>75</v>
      </c>
      <c r="AP4">
        <v>2.1594000000000002</v>
      </c>
      <c r="AQ4" s="5" t="s">
        <v>421</v>
      </c>
      <c r="AR4" t="s">
        <v>422</v>
      </c>
      <c r="AS4" s="6">
        <v>44667</v>
      </c>
      <c r="AT4" s="6">
        <v>51501</v>
      </c>
      <c r="AU4" t="s">
        <v>407</v>
      </c>
      <c r="AV4" s="9"/>
      <c r="AX4">
        <v>2</v>
      </c>
      <c r="AY4" s="4">
        <f t="shared" si="2"/>
        <v>0.5</v>
      </c>
      <c r="AZ4">
        <v>500</v>
      </c>
      <c r="BA4" s="4">
        <v>1</v>
      </c>
      <c r="BB4">
        <v>75</v>
      </c>
      <c r="BC4">
        <v>2.1812</v>
      </c>
      <c r="BD4" s="5" t="s">
        <v>423</v>
      </c>
      <c r="BE4" t="s">
        <v>424</v>
      </c>
      <c r="BF4" s="6">
        <v>44667</v>
      </c>
      <c r="BG4" s="6">
        <v>51501</v>
      </c>
      <c r="BH4" t="s">
        <v>404</v>
      </c>
      <c r="BI4" s="9"/>
    </row>
    <row r="5" spans="1:65" x14ac:dyDescent="0.35">
      <c r="A5">
        <v>1</v>
      </c>
      <c r="B5" s="4">
        <v>0.25</v>
      </c>
      <c r="C5">
        <v>250</v>
      </c>
      <c r="D5">
        <v>75</v>
      </c>
      <c r="E5">
        <v>0.54530000000000001</v>
      </c>
      <c r="F5" s="5" t="s">
        <v>425</v>
      </c>
      <c r="G5" t="s">
        <v>426</v>
      </c>
      <c r="H5" s="6">
        <v>44667</v>
      </c>
      <c r="I5" s="6">
        <v>51501</v>
      </c>
      <c r="J5" t="s">
        <v>404</v>
      </c>
      <c r="K5" s="9"/>
      <c r="M5">
        <v>1</v>
      </c>
      <c r="N5" s="4">
        <v>1.5</v>
      </c>
      <c r="O5">
        <v>1500</v>
      </c>
      <c r="P5">
        <v>75</v>
      </c>
      <c r="Q5">
        <v>2.9380000000000002</v>
      </c>
      <c r="R5" s="5" t="s">
        <v>427</v>
      </c>
      <c r="S5" t="s">
        <v>428</v>
      </c>
      <c r="T5" s="6">
        <v>44667</v>
      </c>
      <c r="U5" s="6">
        <v>51501</v>
      </c>
      <c r="V5" t="s">
        <v>407</v>
      </c>
      <c r="W5" s="9"/>
      <c r="Y5">
        <v>1</v>
      </c>
      <c r="Z5" s="4">
        <f t="shared" si="0"/>
        <v>20</v>
      </c>
      <c r="AA5">
        <v>20000</v>
      </c>
      <c r="AB5">
        <v>75</v>
      </c>
      <c r="AC5">
        <v>28.934899999999999</v>
      </c>
      <c r="AD5" s="5" t="s">
        <v>429</v>
      </c>
      <c r="AE5" t="s">
        <v>430</v>
      </c>
      <c r="AF5" s="6">
        <v>44667</v>
      </c>
      <c r="AG5" s="6">
        <v>51501</v>
      </c>
      <c r="AH5" t="s">
        <v>410</v>
      </c>
      <c r="AI5" s="9"/>
      <c r="AK5">
        <v>2</v>
      </c>
      <c r="AL5" s="4">
        <f t="shared" si="1"/>
        <v>0.5</v>
      </c>
      <c r="AM5">
        <v>500</v>
      </c>
      <c r="AN5" s="4">
        <v>1</v>
      </c>
      <c r="AO5">
        <v>75</v>
      </c>
      <c r="AP5">
        <v>2.1812</v>
      </c>
      <c r="AQ5" s="5" t="s">
        <v>431</v>
      </c>
      <c r="AR5" t="s">
        <v>432</v>
      </c>
      <c r="AS5" s="6">
        <v>44667</v>
      </c>
      <c r="AT5" s="6">
        <v>51501</v>
      </c>
      <c r="AU5" t="s">
        <v>407</v>
      </c>
      <c r="AV5" s="9"/>
      <c r="AX5">
        <v>2</v>
      </c>
      <c r="AY5" s="4">
        <f t="shared" si="2"/>
        <v>0.65</v>
      </c>
      <c r="AZ5">
        <v>650</v>
      </c>
      <c r="BA5" s="4">
        <v>1.3</v>
      </c>
      <c r="BB5">
        <v>75</v>
      </c>
      <c r="BC5">
        <v>2.5461999999999998</v>
      </c>
      <c r="BD5" s="5" t="s">
        <v>433</v>
      </c>
      <c r="BE5" t="s">
        <v>434</v>
      </c>
      <c r="BF5" s="6">
        <v>44667</v>
      </c>
      <c r="BG5" s="6">
        <v>51501</v>
      </c>
      <c r="BH5" t="s">
        <v>404</v>
      </c>
      <c r="BI5" s="9"/>
    </row>
    <row r="6" spans="1:65" x14ac:dyDescent="0.35">
      <c r="A6">
        <v>1</v>
      </c>
      <c r="B6" s="4">
        <v>0.33</v>
      </c>
      <c r="C6">
        <v>330</v>
      </c>
      <c r="D6">
        <v>75</v>
      </c>
      <c r="E6">
        <v>0.7198</v>
      </c>
      <c r="F6" s="5" t="s">
        <v>435</v>
      </c>
      <c r="G6" t="s">
        <v>436</v>
      </c>
      <c r="H6" s="6">
        <v>44667</v>
      </c>
      <c r="I6" s="6">
        <v>51501</v>
      </c>
      <c r="J6" t="s">
        <v>404</v>
      </c>
      <c r="K6" s="9"/>
      <c r="M6">
        <v>1</v>
      </c>
      <c r="N6" s="4">
        <v>0.2</v>
      </c>
      <c r="O6">
        <v>200</v>
      </c>
      <c r="P6">
        <v>75</v>
      </c>
      <c r="Q6">
        <v>0.43630000000000002</v>
      </c>
      <c r="R6" s="5" t="s">
        <v>437</v>
      </c>
      <c r="S6" t="s">
        <v>438</v>
      </c>
      <c r="T6" s="6">
        <v>44667</v>
      </c>
      <c r="U6" s="6">
        <v>51501</v>
      </c>
      <c r="V6" t="s">
        <v>407</v>
      </c>
      <c r="W6" s="9"/>
      <c r="Y6">
        <v>1</v>
      </c>
      <c r="Z6" s="4">
        <f t="shared" si="0"/>
        <v>25</v>
      </c>
      <c r="AA6">
        <v>25000</v>
      </c>
      <c r="AB6">
        <v>75</v>
      </c>
      <c r="AC6">
        <v>36.168599999999998</v>
      </c>
      <c r="AD6" s="5" t="s">
        <v>439</v>
      </c>
      <c r="AE6" t="s">
        <v>440</v>
      </c>
      <c r="AF6" s="6">
        <v>44667</v>
      </c>
      <c r="AG6" s="6">
        <v>51501</v>
      </c>
      <c r="AH6" t="s">
        <v>410</v>
      </c>
      <c r="AI6" s="9"/>
      <c r="AK6">
        <v>4</v>
      </c>
      <c r="AL6" s="4">
        <f t="shared" si="1"/>
        <v>0.25</v>
      </c>
      <c r="AM6">
        <v>250</v>
      </c>
      <c r="AO6">
        <v>75</v>
      </c>
      <c r="AP6">
        <v>2.1812</v>
      </c>
      <c r="AQ6" s="5" t="s">
        <v>441</v>
      </c>
      <c r="AR6" t="s">
        <v>442</v>
      </c>
      <c r="AS6" s="6">
        <v>44667</v>
      </c>
      <c r="AT6" s="6">
        <v>51501</v>
      </c>
      <c r="AU6" t="s">
        <v>407</v>
      </c>
      <c r="AV6" s="9"/>
      <c r="AX6">
        <v>3</v>
      </c>
      <c r="AY6" s="4">
        <f t="shared" si="2"/>
        <v>0.44</v>
      </c>
      <c r="AZ6">
        <v>440</v>
      </c>
      <c r="BA6" s="4">
        <v>1.32</v>
      </c>
      <c r="BB6">
        <v>75</v>
      </c>
      <c r="BC6">
        <v>2.5853999999999999</v>
      </c>
      <c r="BD6" s="5" t="s">
        <v>443</v>
      </c>
      <c r="BE6" t="s">
        <v>444</v>
      </c>
      <c r="BF6" s="6">
        <v>44667</v>
      </c>
      <c r="BG6" s="6">
        <v>51501</v>
      </c>
      <c r="BH6" t="s">
        <v>404</v>
      </c>
      <c r="BI6" s="9"/>
    </row>
    <row r="7" spans="1:65" x14ac:dyDescent="0.35">
      <c r="A7">
        <v>1</v>
      </c>
      <c r="B7" s="4">
        <v>0.33500000000000002</v>
      </c>
      <c r="C7">
        <v>335</v>
      </c>
      <c r="D7">
        <v>75</v>
      </c>
      <c r="E7">
        <v>0.73070000000000002</v>
      </c>
      <c r="F7" s="5" t="s">
        <v>445</v>
      </c>
      <c r="G7" t="s">
        <v>446</v>
      </c>
      <c r="H7" s="6">
        <v>44667</v>
      </c>
      <c r="I7" s="6">
        <v>51501</v>
      </c>
      <c r="J7" t="s">
        <v>404</v>
      </c>
      <c r="K7" s="9"/>
      <c r="M7">
        <v>1</v>
      </c>
      <c r="N7" s="4">
        <v>2</v>
      </c>
      <c r="O7">
        <v>2000</v>
      </c>
      <c r="P7">
        <v>75</v>
      </c>
      <c r="Q7">
        <v>3.9171999999999998</v>
      </c>
      <c r="R7" s="5" t="s">
        <v>447</v>
      </c>
      <c r="S7" t="s">
        <v>448</v>
      </c>
      <c r="T7" s="6">
        <v>44667</v>
      </c>
      <c r="U7" s="6">
        <v>51501</v>
      </c>
      <c r="V7" t="s">
        <v>407</v>
      </c>
      <c r="W7" s="9"/>
      <c r="Y7">
        <v>1</v>
      </c>
      <c r="Z7" s="4">
        <f t="shared" si="0"/>
        <v>30</v>
      </c>
      <c r="AA7">
        <v>30000</v>
      </c>
      <c r="AB7">
        <v>75</v>
      </c>
      <c r="AC7">
        <v>43.402299999999997</v>
      </c>
      <c r="AD7" s="5" t="s">
        <v>449</v>
      </c>
      <c r="AE7" t="s">
        <v>450</v>
      </c>
      <c r="AF7" s="6">
        <v>44667</v>
      </c>
      <c r="AG7" s="6">
        <v>51501</v>
      </c>
      <c r="AH7" t="s">
        <v>410</v>
      </c>
      <c r="AI7" s="9"/>
      <c r="AK7">
        <v>2</v>
      </c>
      <c r="AL7" s="4">
        <f t="shared" si="1"/>
        <v>0.65</v>
      </c>
      <c r="AM7">
        <v>650</v>
      </c>
      <c r="AN7" s="4">
        <v>1.3</v>
      </c>
      <c r="AO7">
        <v>75</v>
      </c>
      <c r="AP7">
        <v>2.5461999999999998</v>
      </c>
      <c r="AQ7" s="5" t="s">
        <v>451</v>
      </c>
      <c r="AR7" t="s">
        <v>452</v>
      </c>
      <c r="AS7" s="6">
        <v>44667</v>
      </c>
      <c r="AT7" s="6">
        <v>51501</v>
      </c>
      <c r="AU7" t="s">
        <v>407</v>
      </c>
      <c r="AV7" s="9"/>
      <c r="AX7">
        <v>4</v>
      </c>
      <c r="AY7" s="4">
        <f t="shared" si="2"/>
        <v>0.33</v>
      </c>
      <c r="AZ7">
        <v>330</v>
      </c>
      <c r="BA7" s="4"/>
      <c r="BB7">
        <v>75</v>
      </c>
      <c r="BC7">
        <v>2.5853999999999999</v>
      </c>
      <c r="BD7" s="5" t="s">
        <v>453</v>
      </c>
      <c r="BE7" t="s">
        <v>454</v>
      </c>
      <c r="BF7" s="6">
        <v>44667</v>
      </c>
      <c r="BG7" s="6">
        <v>51501</v>
      </c>
      <c r="BH7" t="s">
        <v>404</v>
      </c>
      <c r="BI7" s="9"/>
    </row>
    <row r="8" spans="1:65" x14ac:dyDescent="0.35">
      <c r="A8">
        <v>1</v>
      </c>
      <c r="B8" s="4">
        <v>0.34</v>
      </c>
      <c r="C8">
        <v>340</v>
      </c>
      <c r="D8">
        <v>75</v>
      </c>
      <c r="E8">
        <v>0.74160000000000004</v>
      </c>
      <c r="F8" s="5" t="s">
        <v>455</v>
      </c>
      <c r="G8" t="s">
        <v>456</v>
      </c>
      <c r="H8" s="6">
        <v>44667</v>
      </c>
      <c r="I8" s="6">
        <v>51501</v>
      </c>
      <c r="J8" t="s">
        <v>404</v>
      </c>
      <c r="K8" s="9"/>
      <c r="M8">
        <v>1</v>
      </c>
      <c r="N8" s="4">
        <v>0.20699999999999999</v>
      </c>
      <c r="O8">
        <v>207</v>
      </c>
      <c r="P8">
        <v>75</v>
      </c>
      <c r="Q8">
        <v>0.45150000000000001</v>
      </c>
      <c r="R8" s="5" t="s">
        <v>457</v>
      </c>
      <c r="S8" t="s">
        <v>458</v>
      </c>
      <c r="T8" s="6">
        <v>44667</v>
      </c>
      <c r="U8" s="6">
        <v>51501</v>
      </c>
      <c r="V8" t="s">
        <v>407</v>
      </c>
      <c r="W8" s="9"/>
      <c r="Y8">
        <v>1</v>
      </c>
      <c r="Z8" s="4">
        <f t="shared" si="0"/>
        <v>40.909999999999997</v>
      </c>
      <c r="AA8">
        <v>40910</v>
      </c>
      <c r="AB8">
        <v>75</v>
      </c>
      <c r="AC8">
        <v>59.186300000000003</v>
      </c>
      <c r="AD8" s="5" t="s">
        <v>459</v>
      </c>
      <c r="AE8" t="s">
        <v>460</v>
      </c>
      <c r="AF8" s="6">
        <v>44667</v>
      </c>
      <c r="AG8" s="6">
        <v>51501</v>
      </c>
      <c r="AH8" t="s">
        <v>410</v>
      </c>
      <c r="AI8" s="9"/>
      <c r="AK8">
        <v>4</v>
      </c>
      <c r="AL8" s="4">
        <f t="shared" si="1"/>
        <v>0.33</v>
      </c>
      <c r="AM8">
        <v>330</v>
      </c>
      <c r="AN8" s="4">
        <v>1.32</v>
      </c>
      <c r="AO8">
        <v>75</v>
      </c>
      <c r="AP8">
        <v>2.5853999999999999</v>
      </c>
      <c r="AQ8" s="5" t="s">
        <v>461</v>
      </c>
      <c r="AR8" t="s">
        <v>462</v>
      </c>
      <c r="AS8" s="6">
        <v>44667</v>
      </c>
      <c r="AT8" s="6">
        <v>51501</v>
      </c>
      <c r="AU8" t="s">
        <v>407</v>
      </c>
      <c r="AV8" s="9"/>
      <c r="AX8">
        <v>3</v>
      </c>
      <c r="AY8" s="4">
        <f t="shared" si="2"/>
        <v>0.47299999999999998</v>
      </c>
      <c r="AZ8">
        <v>473</v>
      </c>
      <c r="BA8" s="4">
        <v>1.419</v>
      </c>
      <c r="BB8">
        <v>75</v>
      </c>
      <c r="BC8">
        <v>2.7793000000000001</v>
      </c>
      <c r="BD8" s="5" t="s">
        <v>463</v>
      </c>
      <c r="BE8" t="s">
        <v>464</v>
      </c>
      <c r="BF8" s="6">
        <v>44667</v>
      </c>
      <c r="BG8" s="6">
        <v>51501</v>
      </c>
      <c r="BH8" t="s">
        <v>404</v>
      </c>
      <c r="BI8" s="9"/>
    </row>
    <row r="9" spans="1:65" x14ac:dyDescent="0.35">
      <c r="A9">
        <v>1</v>
      </c>
      <c r="B9" s="4">
        <v>0.34100000000000003</v>
      </c>
      <c r="C9">
        <v>341</v>
      </c>
      <c r="D9">
        <v>75</v>
      </c>
      <c r="E9">
        <v>0.74380000000000002</v>
      </c>
      <c r="F9" s="5" t="s">
        <v>465</v>
      </c>
      <c r="G9" t="s">
        <v>466</v>
      </c>
      <c r="H9" s="6">
        <v>44667</v>
      </c>
      <c r="I9" s="6">
        <v>51501</v>
      </c>
      <c r="J9" t="s">
        <v>404</v>
      </c>
      <c r="K9" s="9"/>
      <c r="M9">
        <v>1</v>
      </c>
      <c r="N9" s="4">
        <v>0.222</v>
      </c>
      <c r="O9">
        <v>222</v>
      </c>
      <c r="P9">
        <v>75</v>
      </c>
      <c r="Q9">
        <v>0.48420000000000002</v>
      </c>
      <c r="R9" s="5" t="s">
        <v>467</v>
      </c>
      <c r="S9" t="s">
        <v>468</v>
      </c>
      <c r="T9" s="6">
        <v>44667</v>
      </c>
      <c r="U9" s="6">
        <v>51501</v>
      </c>
      <c r="V9" t="s">
        <v>407</v>
      </c>
      <c r="W9" s="9"/>
      <c r="Y9">
        <v>1</v>
      </c>
      <c r="Z9" s="4">
        <f t="shared" si="0"/>
        <v>45.46</v>
      </c>
      <c r="AA9">
        <v>45460</v>
      </c>
      <c r="AB9">
        <v>75</v>
      </c>
      <c r="AC9">
        <v>65.769000000000005</v>
      </c>
      <c r="AD9" s="5" t="s">
        <v>469</v>
      </c>
      <c r="AE9" t="s">
        <v>470</v>
      </c>
      <c r="AF9" s="6">
        <v>44667</v>
      </c>
      <c r="AG9" s="6">
        <v>51501</v>
      </c>
      <c r="AH9" t="s">
        <v>410</v>
      </c>
      <c r="AI9" s="9"/>
      <c r="AK9">
        <v>4</v>
      </c>
      <c r="AL9" s="4">
        <f t="shared" si="1"/>
        <v>0.34100000000000003</v>
      </c>
      <c r="AM9">
        <v>341</v>
      </c>
      <c r="AN9" s="4">
        <v>1.3640000000000001</v>
      </c>
      <c r="AO9">
        <v>75</v>
      </c>
      <c r="AP9">
        <v>2.6715</v>
      </c>
      <c r="AQ9" s="5" t="s">
        <v>471</v>
      </c>
      <c r="AR9" t="s">
        <v>472</v>
      </c>
      <c r="AS9" s="6">
        <v>44667</v>
      </c>
      <c r="AT9" s="6">
        <v>51501</v>
      </c>
      <c r="AU9" t="s">
        <v>407</v>
      </c>
      <c r="AV9" s="9"/>
      <c r="AX9">
        <v>4</v>
      </c>
      <c r="AY9" s="4">
        <f t="shared" si="2"/>
        <v>0.47299999999999998</v>
      </c>
      <c r="AZ9">
        <v>473</v>
      </c>
      <c r="BA9" s="4">
        <v>1.8919999999999999</v>
      </c>
      <c r="BB9">
        <v>75</v>
      </c>
      <c r="BC9">
        <v>3.7058</v>
      </c>
      <c r="BD9" s="5" t="s">
        <v>473</v>
      </c>
      <c r="BE9" t="s">
        <v>474</v>
      </c>
      <c r="BF9" s="6">
        <v>44667</v>
      </c>
      <c r="BG9" s="6">
        <v>51501</v>
      </c>
      <c r="BH9" t="s">
        <v>404</v>
      </c>
      <c r="BI9" s="9"/>
    </row>
    <row r="10" spans="1:65" x14ac:dyDescent="0.35">
      <c r="A10">
        <v>1</v>
      </c>
      <c r="B10" s="4">
        <v>0.35399999999999998</v>
      </c>
      <c r="C10">
        <v>354</v>
      </c>
      <c r="D10">
        <v>75</v>
      </c>
      <c r="E10">
        <v>0.7722</v>
      </c>
      <c r="F10" s="5" t="s">
        <v>475</v>
      </c>
      <c r="G10" t="s">
        <v>476</v>
      </c>
      <c r="H10" s="6">
        <v>44667</v>
      </c>
      <c r="I10" s="6">
        <v>51501</v>
      </c>
      <c r="J10" t="s">
        <v>404</v>
      </c>
      <c r="K10" s="9"/>
      <c r="M10">
        <v>1</v>
      </c>
      <c r="N10" s="4">
        <v>0.25</v>
      </c>
      <c r="O10">
        <v>250</v>
      </c>
      <c r="P10">
        <v>75</v>
      </c>
      <c r="Q10">
        <v>0.54530000000000001</v>
      </c>
      <c r="R10" s="5" t="s">
        <v>477</v>
      </c>
      <c r="S10" t="s">
        <v>478</v>
      </c>
      <c r="T10" s="6">
        <v>44667</v>
      </c>
      <c r="U10" s="6">
        <v>51501</v>
      </c>
      <c r="V10" t="s">
        <v>407</v>
      </c>
      <c r="W10" s="9"/>
      <c r="Y10">
        <v>1</v>
      </c>
      <c r="Z10" s="4">
        <f t="shared" si="0"/>
        <v>50</v>
      </c>
      <c r="AA10">
        <v>50000</v>
      </c>
      <c r="AB10">
        <v>75</v>
      </c>
      <c r="AC10">
        <v>72.337199999999996</v>
      </c>
      <c r="AD10" s="5" t="s">
        <v>479</v>
      </c>
      <c r="AE10" t="s">
        <v>480</v>
      </c>
      <c r="AF10" s="6">
        <v>44667</v>
      </c>
      <c r="AG10" s="6">
        <v>51501</v>
      </c>
      <c r="AH10" t="s">
        <v>410</v>
      </c>
      <c r="AI10" s="9"/>
      <c r="AK10">
        <v>4</v>
      </c>
      <c r="AL10" s="4">
        <f t="shared" si="1"/>
        <v>0.35499999999999998</v>
      </c>
      <c r="AM10">
        <v>355</v>
      </c>
      <c r="AN10" s="4">
        <v>1.42</v>
      </c>
      <c r="AO10">
        <v>75</v>
      </c>
      <c r="AP10">
        <v>2.7812999999999999</v>
      </c>
      <c r="AQ10" s="5" t="s">
        <v>481</v>
      </c>
      <c r="AR10" t="s">
        <v>482</v>
      </c>
      <c r="AS10" s="6">
        <v>44667</v>
      </c>
      <c r="AT10" s="6">
        <v>51501</v>
      </c>
      <c r="AU10" t="s">
        <v>407</v>
      </c>
      <c r="AV10" s="9"/>
      <c r="AX10">
        <v>6</v>
      </c>
      <c r="AY10" s="4">
        <f t="shared" si="2"/>
        <v>0.33</v>
      </c>
      <c r="AZ10">
        <v>330</v>
      </c>
      <c r="BA10" s="4">
        <v>1.98</v>
      </c>
      <c r="BB10">
        <v>75</v>
      </c>
      <c r="BC10">
        <v>3.8780999999999999</v>
      </c>
      <c r="BD10" s="5" t="s">
        <v>483</v>
      </c>
      <c r="BE10" t="s">
        <v>484</v>
      </c>
      <c r="BF10" s="6">
        <v>44667</v>
      </c>
      <c r="BG10" s="6">
        <v>51501</v>
      </c>
      <c r="BH10" t="s">
        <v>404</v>
      </c>
      <c r="BI10" s="9"/>
    </row>
    <row r="11" spans="1:65" x14ac:dyDescent="0.35">
      <c r="A11">
        <v>1</v>
      </c>
      <c r="B11" s="4">
        <v>0.35499999999999998</v>
      </c>
      <c r="C11">
        <v>355</v>
      </c>
      <c r="D11">
        <v>75</v>
      </c>
      <c r="E11">
        <v>0.77439999999999998</v>
      </c>
      <c r="F11" s="5" t="s">
        <v>485</v>
      </c>
      <c r="G11" t="s">
        <v>486</v>
      </c>
      <c r="H11" s="6">
        <v>44667</v>
      </c>
      <c r="I11" s="6">
        <v>51501</v>
      </c>
      <c r="J11" t="s">
        <v>404</v>
      </c>
      <c r="K11" s="9"/>
      <c r="M11">
        <v>1</v>
      </c>
      <c r="N11" s="4">
        <v>0.27500000000000002</v>
      </c>
      <c r="O11">
        <v>275</v>
      </c>
      <c r="P11">
        <v>75</v>
      </c>
      <c r="Q11">
        <v>0.5998</v>
      </c>
      <c r="R11" s="5" t="s">
        <v>487</v>
      </c>
      <c r="S11" t="s">
        <v>488</v>
      </c>
      <c r="T11" s="6">
        <v>44667</v>
      </c>
      <c r="U11" s="6">
        <v>51501</v>
      </c>
      <c r="V11" t="s">
        <v>407</v>
      </c>
      <c r="W11" s="9"/>
      <c r="Y11">
        <v>1</v>
      </c>
      <c r="Z11" s="4">
        <f t="shared" si="0"/>
        <v>58.6</v>
      </c>
      <c r="AA11">
        <v>58600</v>
      </c>
      <c r="AB11">
        <v>75</v>
      </c>
      <c r="AC11">
        <v>84.779300000000006</v>
      </c>
      <c r="AD11" s="5" t="s">
        <v>489</v>
      </c>
      <c r="AE11" t="s">
        <v>490</v>
      </c>
      <c r="AF11" s="6">
        <v>44667</v>
      </c>
      <c r="AG11" s="6">
        <v>51501</v>
      </c>
      <c r="AH11" t="s">
        <v>410</v>
      </c>
      <c r="AI11" s="9"/>
      <c r="AK11">
        <v>2</v>
      </c>
      <c r="AL11" s="4">
        <f t="shared" si="1"/>
        <v>0.75</v>
      </c>
      <c r="AM11">
        <v>750</v>
      </c>
      <c r="AN11" s="4">
        <v>1.5</v>
      </c>
      <c r="AO11">
        <v>75</v>
      </c>
      <c r="AP11">
        <v>2.9380000000000002</v>
      </c>
      <c r="AQ11" s="5" t="s">
        <v>491</v>
      </c>
      <c r="AR11" t="s">
        <v>492</v>
      </c>
      <c r="AS11" s="6">
        <v>44667</v>
      </c>
      <c r="AT11" s="6">
        <v>51501</v>
      </c>
      <c r="AU11" t="s">
        <v>407</v>
      </c>
      <c r="AV11" s="9"/>
      <c r="AX11">
        <v>6</v>
      </c>
      <c r="AY11" s="4">
        <f t="shared" si="2"/>
        <v>0.34100000000000003</v>
      </c>
      <c r="AZ11">
        <v>341</v>
      </c>
      <c r="BA11" s="4">
        <v>2.0460000000000003</v>
      </c>
      <c r="BB11">
        <v>75</v>
      </c>
      <c r="BC11">
        <v>4.0073999999999996</v>
      </c>
      <c r="BD11" s="5" t="s">
        <v>493</v>
      </c>
      <c r="BE11" t="s">
        <v>494</v>
      </c>
      <c r="BF11" s="6">
        <v>44667</v>
      </c>
      <c r="BG11" s="6">
        <v>51501</v>
      </c>
      <c r="BH11" t="s">
        <v>404</v>
      </c>
      <c r="BI11" s="9"/>
    </row>
    <row r="12" spans="1:65" x14ac:dyDescent="0.35">
      <c r="A12">
        <v>1</v>
      </c>
      <c r="B12" s="4">
        <v>0.375</v>
      </c>
      <c r="C12">
        <v>375</v>
      </c>
      <c r="D12">
        <v>75</v>
      </c>
      <c r="E12">
        <v>0.81789999999999996</v>
      </c>
      <c r="F12" s="5" t="s">
        <v>495</v>
      </c>
      <c r="G12" t="s">
        <v>496</v>
      </c>
      <c r="H12" s="6">
        <v>44667</v>
      </c>
      <c r="I12" s="6">
        <v>51501</v>
      </c>
      <c r="J12" t="s">
        <v>404</v>
      </c>
      <c r="K12" s="9"/>
      <c r="M12">
        <v>1</v>
      </c>
      <c r="N12" s="4">
        <v>0.3</v>
      </c>
      <c r="O12">
        <v>300</v>
      </c>
      <c r="P12">
        <v>75</v>
      </c>
      <c r="Q12">
        <v>0.65439999999999998</v>
      </c>
      <c r="R12" s="5" t="s">
        <v>497</v>
      </c>
      <c r="S12" t="s">
        <v>498</v>
      </c>
      <c r="T12" s="6">
        <v>44667</v>
      </c>
      <c r="U12" s="6">
        <v>51501</v>
      </c>
      <c r="V12" t="s">
        <v>407</v>
      </c>
      <c r="W12" s="9"/>
      <c r="Y12">
        <v>1</v>
      </c>
      <c r="Z12" s="4">
        <f t="shared" si="0"/>
        <v>58.667999999999999</v>
      </c>
      <c r="AA12">
        <v>58668</v>
      </c>
      <c r="AB12">
        <v>75</v>
      </c>
      <c r="AC12">
        <v>84.877600000000001</v>
      </c>
      <c r="AD12" s="5" t="s">
        <v>499</v>
      </c>
      <c r="AE12" t="s">
        <v>500</v>
      </c>
      <c r="AF12" s="6">
        <v>44667</v>
      </c>
      <c r="AG12" s="6">
        <v>51501</v>
      </c>
      <c r="AH12" t="s">
        <v>410</v>
      </c>
      <c r="AI12" s="9"/>
      <c r="AK12">
        <v>3</v>
      </c>
      <c r="AL12" s="4">
        <f t="shared" si="1"/>
        <v>0.5</v>
      </c>
      <c r="AM12">
        <v>500</v>
      </c>
      <c r="AO12">
        <v>75</v>
      </c>
      <c r="AP12">
        <v>2.9380000000000002</v>
      </c>
      <c r="AQ12" s="5" t="s">
        <v>501</v>
      </c>
      <c r="AR12" t="s">
        <v>502</v>
      </c>
      <c r="AS12" s="6">
        <v>44667</v>
      </c>
      <c r="AT12" s="6">
        <v>51501</v>
      </c>
      <c r="AU12" t="s">
        <v>407</v>
      </c>
      <c r="AV12" s="9"/>
      <c r="AX12">
        <v>6</v>
      </c>
      <c r="AY12" s="4">
        <f t="shared" si="2"/>
        <v>0.35399999999999998</v>
      </c>
      <c r="AZ12">
        <v>354</v>
      </c>
      <c r="BA12" s="4">
        <v>2.1239999999999997</v>
      </c>
      <c r="BB12">
        <v>75</v>
      </c>
      <c r="BC12">
        <v>4.1600999999999999</v>
      </c>
      <c r="BD12" s="5" t="s">
        <v>503</v>
      </c>
      <c r="BE12" t="s">
        <v>504</v>
      </c>
      <c r="BF12" s="6">
        <v>44667</v>
      </c>
      <c r="BG12" s="6">
        <v>51501</v>
      </c>
      <c r="BH12" t="s">
        <v>404</v>
      </c>
      <c r="BI12" s="9"/>
    </row>
    <row r="13" spans="1:65" x14ac:dyDescent="0.35">
      <c r="A13">
        <v>1</v>
      </c>
      <c r="B13" s="4">
        <v>0.44</v>
      </c>
      <c r="C13">
        <v>440</v>
      </c>
      <c r="D13">
        <v>75</v>
      </c>
      <c r="E13">
        <v>0.95979999999999999</v>
      </c>
      <c r="F13" s="5" t="s">
        <v>505</v>
      </c>
      <c r="G13" t="s">
        <v>506</v>
      </c>
      <c r="H13" s="6">
        <v>44667</v>
      </c>
      <c r="I13" s="6">
        <v>51501</v>
      </c>
      <c r="J13" t="s">
        <v>404</v>
      </c>
      <c r="K13" s="9"/>
      <c r="M13">
        <v>1</v>
      </c>
      <c r="N13" s="4">
        <v>0.32</v>
      </c>
      <c r="O13">
        <v>320</v>
      </c>
      <c r="P13">
        <v>75</v>
      </c>
      <c r="Q13">
        <v>0.69799999999999995</v>
      </c>
      <c r="R13" s="5" t="s">
        <v>507</v>
      </c>
      <c r="S13" t="s">
        <v>508</v>
      </c>
      <c r="T13" s="6">
        <v>44667</v>
      </c>
      <c r="U13" s="6">
        <v>51501</v>
      </c>
      <c r="V13" t="s">
        <v>407</v>
      </c>
      <c r="W13" s="9"/>
      <c r="Y13">
        <v>1</v>
      </c>
      <c r="Z13" s="4">
        <f t="shared" si="0"/>
        <v>2</v>
      </c>
      <c r="AA13">
        <v>2000</v>
      </c>
      <c r="AB13">
        <v>75</v>
      </c>
      <c r="AC13">
        <v>3.9171999999999998</v>
      </c>
      <c r="AD13" s="5" t="s">
        <v>509</v>
      </c>
      <c r="AE13" t="s">
        <v>510</v>
      </c>
      <c r="AF13" s="6">
        <v>44667</v>
      </c>
      <c r="AG13" s="6">
        <v>51501</v>
      </c>
      <c r="AH13" t="s">
        <v>511</v>
      </c>
      <c r="AI13" s="9"/>
      <c r="AK13">
        <v>6</v>
      </c>
      <c r="AL13" s="4">
        <f t="shared" si="1"/>
        <v>0.25</v>
      </c>
      <c r="AM13">
        <v>250</v>
      </c>
      <c r="AO13">
        <v>75</v>
      </c>
      <c r="AP13">
        <v>2.9380000000000002</v>
      </c>
      <c r="AQ13" s="5" t="s">
        <v>512</v>
      </c>
      <c r="AR13" t="s">
        <v>513</v>
      </c>
      <c r="AS13" s="6">
        <v>44667</v>
      </c>
      <c r="AT13" s="6">
        <v>51501</v>
      </c>
      <c r="AU13" t="s">
        <v>407</v>
      </c>
      <c r="AV13" s="9"/>
      <c r="AX13">
        <v>6</v>
      </c>
      <c r="AY13" s="4">
        <f t="shared" si="2"/>
        <v>0.35499999999999998</v>
      </c>
      <c r="AZ13">
        <v>355</v>
      </c>
      <c r="BA13" s="4">
        <v>2.13</v>
      </c>
      <c r="BB13">
        <v>75</v>
      </c>
      <c r="BC13">
        <v>4.1718999999999999</v>
      </c>
      <c r="BD13" s="5" t="s">
        <v>514</v>
      </c>
      <c r="BE13" t="s">
        <v>515</v>
      </c>
      <c r="BF13" s="6">
        <v>44667</v>
      </c>
      <c r="BG13" s="6">
        <v>51501</v>
      </c>
      <c r="BH13" t="s">
        <v>404</v>
      </c>
      <c r="BI13" s="9"/>
    </row>
    <row r="14" spans="1:65" x14ac:dyDescent="0.35">
      <c r="A14">
        <v>1</v>
      </c>
      <c r="B14" s="4">
        <v>0.45</v>
      </c>
      <c r="C14">
        <v>450</v>
      </c>
      <c r="D14">
        <v>75</v>
      </c>
      <c r="E14">
        <v>0.98160000000000003</v>
      </c>
      <c r="F14" s="5" t="s">
        <v>516</v>
      </c>
      <c r="G14" t="s">
        <v>517</v>
      </c>
      <c r="H14" s="6">
        <v>44667</v>
      </c>
      <c r="I14" s="6">
        <v>51501</v>
      </c>
      <c r="J14" t="s">
        <v>404</v>
      </c>
      <c r="K14" s="9"/>
      <c r="M14">
        <v>1</v>
      </c>
      <c r="N14" s="4">
        <v>0.32500000000000001</v>
      </c>
      <c r="O14">
        <v>325</v>
      </c>
      <c r="P14">
        <v>75</v>
      </c>
      <c r="Q14">
        <v>0.70889999999999997</v>
      </c>
      <c r="R14" s="5" t="s">
        <v>518</v>
      </c>
      <c r="S14" t="s">
        <v>519</v>
      </c>
      <c r="T14" s="6">
        <v>44667</v>
      </c>
      <c r="U14" s="6">
        <v>51501</v>
      </c>
      <c r="V14" t="s">
        <v>407</v>
      </c>
      <c r="W14" s="9"/>
      <c r="Y14">
        <v>1</v>
      </c>
      <c r="Z14" s="4">
        <f t="shared" ref="Z14" si="3">AA14/1000</f>
        <v>10</v>
      </c>
      <c r="AA14">
        <v>10000</v>
      </c>
      <c r="AB14">
        <v>75</v>
      </c>
      <c r="AC14">
        <v>18.918199999999999</v>
      </c>
      <c r="AD14" t="s">
        <v>947</v>
      </c>
      <c r="AE14" s="5" t="s">
        <v>948</v>
      </c>
      <c r="AF14" s="6">
        <v>44667</v>
      </c>
      <c r="AG14" s="6">
        <v>51501</v>
      </c>
      <c r="AH14" s="6" t="s">
        <v>410</v>
      </c>
      <c r="AI14" s="9"/>
      <c r="AK14">
        <v>6</v>
      </c>
      <c r="AL14" s="4">
        <f t="shared" si="1"/>
        <v>0.27500000000000002</v>
      </c>
      <c r="AM14">
        <v>275</v>
      </c>
      <c r="AN14" s="4">
        <v>1.6500000000000001</v>
      </c>
      <c r="AO14">
        <v>75</v>
      </c>
      <c r="AP14">
        <v>3.2317999999999998</v>
      </c>
      <c r="AQ14" s="5" t="s">
        <v>520</v>
      </c>
      <c r="AR14" t="s">
        <v>521</v>
      </c>
      <c r="AS14" s="6">
        <v>44667</v>
      </c>
      <c r="AT14" s="6">
        <v>51501</v>
      </c>
      <c r="AU14" t="s">
        <v>407</v>
      </c>
      <c r="AV14" s="9"/>
      <c r="AX14">
        <v>6</v>
      </c>
      <c r="AY14" s="4">
        <f t="shared" si="2"/>
        <v>0.47299999999999998</v>
      </c>
      <c r="AZ14">
        <v>473</v>
      </c>
      <c r="BA14" s="4">
        <v>2.8380000000000001</v>
      </c>
      <c r="BB14">
        <v>75</v>
      </c>
      <c r="BC14">
        <v>5.5585000000000004</v>
      </c>
      <c r="BD14" s="5" t="s">
        <v>522</v>
      </c>
      <c r="BE14" t="s">
        <v>523</v>
      </c>
      <c r="BF14" s="6">
        <v>44667</v>
      </c>
      <c r="BG14" s="6">
        <v>51501</v>
      </c>
      <c r="BH14" t="s">
        <v>404</v>
      </c>
      <c r="BI14" s="9"/>
    </row>
    <row r="15" spans="1:65" x14ac:dyDescent="0.35">
      <c r="A15">
        <v>1</v>
      </c>
      <c r="B15" s="4">
        <v>0.47299999999999998</v>
      </c>
      <c r="C15">
        <v>473</v>
      </c>
      <c r="D15">
        <v>75</v>
      </c>
      <c r="E15">
        <v>1.0317000000000001</v>
      </c>
      <c r="F15" s="5" t="s">
        <v>524</v>
      </c>
      <c r="G15" t="s">
        <v>525</v>
      </c>
      <c r="H15" s="6">
        <v>44667</v>
      </c>
      <c r="I15" s="6">
        <v>51501</v>
      </c>
      <c r="J15" t="s">
        <v>404</v>
      </c>
      <c r="K15" s="9"/>
      <c r="M15">
        <v>1</v>
      </c>
      <c r="N15" s="4">
        <v>0.33</v>
      </c>
      <c r="O15">
        <v>330</v>
      </c>
      <c r="P15">
        <v>75</v>
      </c>
      <c r="Q15">
        <v>0.7198</v>
      </c>
      <c r="R15" s="5" t="s">
        <v>526</v>
      </c>
      <c r="S15" t="s">
        <v>527</v>
      </c>
      <c r="T15" s="6">
        <v>44667</v>
      </c>
      <c r="U15" s="6">
        <v>51501</v>
      </c>
      <c r="V15" t="s">
        <v>407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1"/>
        <v>0.33</v>
      </c>
      <c r="AM15">
        <v>330</v>
      </c>
      <c r="AN15" s="4">
        <v>1.98</v>
      </c>
      <c r="AO15">
        <v>75</v>
      </c>
      <c r="AP15">
        <v>3.8780999999999999</v>
      </c>
      <c r="AQ15" s="5" t="s">
        <v>528</v>
      </c>
      <c r="AR15" t="s">
        <v>529</v>
      </c>
      <c r="AS15" s="6">
        <v>44667</v>
      </c>
      <c r="AT15" s="6">
        <v>51501</v>
      </c>
      <c r="AU15" t="s">
        <v>407</v>
      </c>
      <c r="AV15" s="9"/>
      <c r="AX15">
        <v>10</v>
      </c>
      <c r="AY15" s="4">
        <f t="shared" si="2"/>
        <v>0.33</v>
      </c>
      <c r="AZ15">
        <v>330</v>
      </c>
      <c r="BA15" s="4">
        <v>3.3000000000000003</v>
      </c>
      <c r="BB15">
        <v>75</v>
      </c>
      <c r="BC15">
        <v>6.2431000000000001</v>
      </c>
      <c r="BD15" s="5" t="s">
        <v>530</v>
      </c>
      <c r="BE15" t="s">
        <v>531</v>
      </c>
      <c r="BF15" s="6">
        <v>44667</v>
      </c>
      <c r="BG15" s="6">
        <v>51501</v>
      </c>
      <c r="BH15" t="s">
        <v>404</v>
      </c>
      <c r="BI15" s="9"/>
    </row>
    <row r="16" spans="1:65" x14ac:dyDescent="0.35">
      <c r="A16">
        <v>1</v>
      </c>
      <c r="B16" s="4">
        <v>0.5</v>
      </c>
      <c r="C16">
        <v>500</v>
      </c>
      <c r="D16">
        <v>75</v>
      </c>
      <c r="E16">
        <v>1.0907</v>
      </c>
      <c r="F16" s="5" t="s">
        <v>532</v>
      </c>
      <c r="G16" t="s">
        <v>533</v>
      </c>
      <c r="H16" s="6">
        <v>44667</v>
      </c>
      <c r="I16" s="6">
        <v>51501</v>
      </c>
      <c r="J16" t="s">
        <v>404</v>
      </c>
      <c r="K16" s="9"/>
      <c r="M16">
        <v>1</v>
      </c>
      <c r="N16" s="4">
        <v>0.33400000000000002</v>
      </c>
      <c r="O16">
        <v>334</v>
      </c>
      <c r="P16">
        <v>75</v>
      </c>
      <c r="Q16">
        <v>0.72850000000000004</v>
      </c>
      <c r="R16" s="5" t="s">
        <v>534</v>
      </c>
      <c r="S16" t="s">
        <v>535</v>
      </c>
      <c r="T16" s="6">
        <v>44667</v>
      </c>
      <c r="U16" s="6">
        <v>51501</v>
      </c>
      <c r="V16" t="s">
        <v>407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1"/>
        <v>0.5</v>
      </c>
      <c r="AM16">
        <v>500</v>
      </c>
      <c r="AN16" s="4">
        <v>2</v>
      </c>
      <c r="AO16">
        <v>75</v>
      </c>
      <c r="AP16">
        <v>3.9171999999999998</v>
      </c>
      <c r="AQ16" s="5" t="s">
        <v>536</v>
      </c>
      <c r="AR16" t="s">
        <v>537</v>
      </c>
      <c r="AS16" s="6">
        <v>44667</v>
      </c>
      <c r="AT16" s="6">
        <v>51501</v>
      </c>
      <c r="AU16" t="s">
        <v>407</v>
      </c>
      <c r="AV16" s="9"/>
      <c r="AX16">
        <v>8</v>
      </c>
      <c r="AY16" s="4">
        <f t="shared" si="2"/>
        <v>0.44</v>
      </c>
      <c r="AZ16">
        <v>440</v>
      </c>
      <c r="BA16" s="4">
        <v>3.52</v>
      </c>
      <c r="BB16">
        <v>75</v>
      </c>
      <c r="BC16">
        <v>6.6592000000000002</v>
      </c>
      <c r="BD16" s="5" t="s">
        <v>538</v>
      </c>
      <c r="BE16" t="s">
        <v>539</v>
      </c>
      <c r="BF16" s="6">
        <v>44667</v>
      </c>
      <c r="BG16" s="6">
        <v>51501</v>
      </c>
      <c r="BH16" t="s">
        <v>404</v>
      </c>
      <c r="BI16" s="9"/>
    </row>
    <row r="17" spans="1:61" x14ac:dyDescent="0.35">
      <c r="A17">
        <v>1</v>
      </c>
      <c r="B17" s="4">
        <v>5</v>
      </c>
      <c r="C17">
        <v>5000</v>
      </c>
      <c r="D17">
        <v>75</v>
      </c>
      <c r="E17">
        <v>9.4590999999999994</v>
      </c>
      <c r="F17" s="5" t="s">
        <v>540</v>
      </c>
      <c r="G17" t="s">
        <v>541</v>
      </c>
      <c r="H17" s="6">
        <v>44667</v>
      </c>
      <c r="I17" s="6">
        <v>51501</v>
      </c>
      <c r="J17" t="s">
        <v>404</v>
      </c>
      <c r="K17" s="9"/>
      <c r="M17">
        <v>1</v>
      </c>
      <c r="N17" s="4">
        <v>0.34100000000000003</v>
      </c>
      <c r="O17">
        <v>341</v>
      </c>
      <c r="P17">
        <v>75</v>
      </c>
      <c r="Q17">
        <v>0.74380000000000002</v>
      </c>
      <c r="R17" s="5" t="s">
        <v>542</v>
      </c>
      <c r="S17" t="s">
        <v>543</v>
      </c>
      <c r="T17" s="6">
        <v>44667</v>
      </c>
      <c r="U17" s="6">
        <v>51501</v>
      </c>
      <c r="V17" t="s">
        <v>407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1"/>
        <v>0.34100000000000003</v>
      </c>
      <c r="AM17">
        <v>341</v>
      </c>
      <c r="AN17" s="4">
        <v>2.0460000000000003</v>
      </c>
      <c r="AO17">
        <v>75</v>
      </c>
      <c r="AP17">
        <v>4.0073999999999996</v>
      </c>
      <c r="AQ17" s="5" t="s">
        <v>544</v>
      </c>
      <c r="AR17" t="s">
        <v>545</v>
      </c>
      <c r="AS17" s="6">
        <v>44667</v>
      </c>
      <c r="AT17" s="6">
        <v>51501</v>
      </c>
      <c r="AU17" t="s">
        <v>407</v>
      </c>
      <c r="AV17" s="9"/>
      <c r="AX17">
        <v>8</v>
      </c>
      <c r="AY17" s="4">
        <f t="shared" si="2"/>
        <v>0.47299999999999998</v>
      </c>
      <c r="AZ17">
        <v>473</v>
      </c>
      <c r="BA17" s="4">
        <v>3.7839999999999998</v>
      </c>
      <c r="BB17">
        <v>75</v>
      </c>
      <c r="BC17">
        <v>7.1586999999999996</v>
      </c>
      <c r="BD17" s="5" t="s">
        <v>546</v>
      </c>
      <c r="BE17" t="s">
        <v>547</v>
      </c>
      <c r="BF17" s="6">
        <v>44667</v>
      </c>
      <c r="BG17" s="6">
        <v>51501</v>
      </c>
      <c r="BH17" t="s">
        <v>404</v>
      </c>
      <c r="BI17" s="9"/>
    </row>
    <row r="18" spans="1:61" x14ac:dyDescent="0.35">
      <c r="A18">
        <v>1</v>
      </c>
      <c r="B18" s="4">
        <v>0.56799999999999995</v>
      </c>
      <c r="C18">
        <v>568</v>
      </c>
      <c r="D18">
        <v>75</v>
      </c>
      <c r="E18">
        <v>1.2388999999999999</v>
      </c>
      <c r="F18" s="5" t="s">
        <v>548</v>
      </c>
      <c r="G18" t="s">
        <v>549</v>
      </c>
      <c r="H18" s="6">
        <v>44667</v>
      </c>
      <c r="I18" s="6">
        <v>51501</v>
      </c>
      <c r="J18" t="s">
        <v>404</v>
      </c>
      <c r="K18" s="9"/>
      <c r="M18">
        <v>1</v>
      </c>
      <c r="N18" s="4">
        <v>0.34499999999999997</v>
      </c>
      <c r="O18">
        <v>345</v>
      </c>
      <c r="P18">
        <v>75</v>
      </c>
      <c r="Q18">
        <v>0.75249999999999995</v>
      </c>
      <c r="R18" s="5" t="s">
        <v>550</v>
      </c>
      <c r="S18" t="s">
        <v>551</v>
      </c>
      <c r="T18" s="6">
        <v>44667</v>
      </c>
      <c r="U18" s="6">
        <v>51501</v>
      </c>
      <c r="V18" t="s">
        <v>407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1"/>
        <v>0.35499999999999998</v>
      </c>
      <c r="AM18">
        <v>355</v>
      </c>
      <c r="AN18" s="4">
        <v>2.13</v>
      </c>
      <c r="AO18">
        <v>75</v>
      </c>
      <c r="AP18">
        <v>4.1718999999999999</v>
      </c>
      <c r="AQ18" s="5" t="s">
        <v>552</v>
      </c>
      <c r="AR18" t="s">
        <v>553</v>
      </c>
      <c r="AS18" s="6">
        <v>44667</v>
      </c>
      <c r="AT18" s="6">
        <v>51501</v>
      </c>
      <c r="AU18" t="s">
        <v>407</v>
      </c>
      <c r="AV18" s="9"/>
      <c r="AX18">
        <v>12</v>
      </c>
      <c r="AY18" s="4">
        <f t="shared" si="2"/>
        <v>0.33</v>
      </c>
      <c r="AZ18">
        <v>330</v>
      </c>
      <c r="BA18" s="4">
        <v>3.96</v>
      </c>
      <c r="BB18">
        <v>75</v>
      </c>
      <c r="BC18">
        <v>7.4916</v>
      </c>
      <c r="BD18" s="5" t="s">
        <v>554</v>
      </c>
      <c r="BE18" t="s">
        <v>555</v>
      </c>
      <c r="BF18" s="6">
        <v>44667</v>
      </c>
      <c r="BG18" s="6">
        <v>51501</v>
      </c>
      <c r="BH18" t="s">
        <v>404</v>
      </c>
      <c r="BI18" s="9"/>
    </row>
    <row r="19" spans="1:61" x14ac:dyDescent="0.35">
      <c r="A19">
        <v>1</v>
      </c>
      <c r="B19" s="4">
        <v>0.65</v>
      </c>
      <c r="C19">
        <v>650</v>
      </c>
      <c r="D19">
        <v>75</v>
      </c>
      <c r="E19">
        <v>1.4177</v>
      </c>
      <c r="F19" s="5" t="s">
        <v>556</v>
      </c>
      <c r="G19" t="s">
        <v>557</v>
      </c>
      <c r="H19" s="6">
        <v>44667</v>
      </c>
      <c r="I19" s="6">
        <v>51501</v>
      </c>
      <c r="J19" t="s">
        <v>404</v>
      </c>
      <c r="K19" s="9"/>
      <c r="M19">
        <v>1</v>
      </c>
      <c r="N19" s="4">
        <v>0.35</v>
      </c>
      <c r="O19">
        <v>350</v>
      </c>
      <c r="P19">
        <v>75</v>
      </c>
      <c r="Q19">
        <v>0.76349999999999996</v>
      </c>
      <c r="R19" s="5" t="s">
        <v>558</v>
      </c>
      <c r="S19" t="s">
        <v>559</v>
      </c>
      <c r="T19" s="6">
        <v>44667</v>
      </c>
      <c r="U19" s="6">
        <v>51501</v>
      </c>
      <c r="V19" t="s">
        <v>407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1"/>
        <v>0.75</v>
      </c>
      <c r="AM19">
        <v>750</v>
      </c>
      <c r="AN19" s="4">
        <v>2.25</v>
      </c>
      <c r="AO19">
        <v>75</v>
      </c>
      <c r="AP19">
        <v>4.4069000000000003</v>
      </c>
      <c r="AQ19" s="5" t="s">
        <v>560</v>
      </c>
      <c r="AR19" t="s">
        <v>561</v>
      </c>
      <c r="AS19" s="6">
        <v>44667</v>
      </c>
      <c r="AT19" s="6">
        <v>51501</v>
      </c>
      <c r="AU19" t="s">
        <v>407</v>
      </c>
      <c r="AV19" s="9"/>
      <c r="AX19">
        <v>2</v>
      </c>
      <c r="AY19" s="4">
        <f t="shared" si="2"/>
        <v>2</v>
      </c>
      <c r="AZ19">
        <v>2000</v>
      </c>
      <c r="BA19" s="4"/>
      <c r="BB19">
        <v>75</v>
      </c>
      <c r="BC19">
        <v>3.9171999999999998</v>
      </c>
      <c r="BD19" s="5" t="s">
        <v>562</v>
      </c>
      <c r="BE19" t="s">
        <v>563</v>
      </c>
      <c r="BF19" s="6">
        <v>44667</v>
      </c>
      <c r="BG19" s="6">
        <v>51501</v>
      </c>
      <c r="BH19" t="s">
        <v>404</v>
      </c>
      <c r="BI19" s="9"/>
    </row>
    <row r="20" spans="1:61" x14ac:dyDescent="0.35">
      <c r="A20">
        <v>1</v>
      </c>
      <c r="B20" s="4">
        <v>0.71</v>
      </c>
      <c r="C20">
        <v>710</v>
      </c>
      <c r="D20">
        <v>75</v>
      </c>
      <c r="E20">
        <v>1.5486</v>
      </c>
      <c r="F20" s="5" t="s">
        <v>564</v>
      </c>
      <c r="G20" t="s">
        <v>565</v>
      </c>
      <c r="H20" s="6">
        <v>44667</v>
      </c>
      <c r="I20" s="6">
        <v>51501</v>
      </c>
      <c r="J20" t="s">
        <v>404</v>
      </c>
      <c r="K20" s="9"/>
      <c r="M20">
        <v>1</v>
      </c>
      <c r="N20" s="4">
        <v>0.35399999999999998</v>
      </c>
      <c r="O20">
        <v>354</v>
      </c>
      <c r="P20">
        <v>75</v>
      </c>
      <c r="Q20">
        <v>0.7722</v>
      </c>
      <c r="R20" s="5" t="s">
        <v>566</v>
      </c>
      <c r="S20" t="s">
        <v>567</v>
      </c>
      <c r="T20" s="6">
        <v>44667</v>
      </c>
      <c r="U20" s="6">
        <v>51501</v>
      </c>
      <c r="V20" t="s">
        <v>407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1"/>
        <v>0.375</v>
      </c>
      <c r="AM20">
        <v>375</v>
      </c>
      <c r="AO20">
        <v>75</v>
      </c>
      <c r="AP20">
        <v>4.4069000000000003</v>
      </c>
      <c r="AQ20" s="5" t="s">
        <v>568</v>
      </c>
      <c r="AR20" t="s">
        <v>569</v>
      </c>
      <c r="AS20" s="6">
        <v>44667</v>
      </c>
      <c r="AT20" s="6">
        <v>51501</v>
      </c>
      <c r="AU20" t="s">
        <v>407</v>
      </c>
      <c r="AV20" s="9"/>
      <c r="AX20">
        <v>8</v>
      </c>
      <c r="AY20" s="4">
        <f t="shared" si="2"/>
        <v>0.5</v>
      </c>
      <c r="AZ20">
        <v>500</v>
      </c>
      <c r="BA20" s="4">
        <v>4</v>
      </c>
      <c r="BB20">
        <v>75</v>
      </c>
      <c r="BC20">
        <v>7.5673000000000004</v>
      </c>
      <c r="BD20" s="5" t="s">
        <v>570</v>
      </c>
      <c r="BE20" t="s">
        <v>571</v>
      </c>
      <c r="BF20" s="6">
        <v>44667</v>
      </c>
      <c r="BG20" s="6">
        <v>51501</v>
      </c>
      <c r="BH20" t="s">
        <v>404</v>
      </c>
      <c r="BI20" s="9"/>
    </row>
    <row r="21" spans="1:61" x14ac:dyDescent="0.35">
      <c r="A21">
        <v>1</v>
      </c>
      <c r="B21" s="4">
        <v>0.74</v>
      </c>
      <c r="C21">
        <v>740</v>
      </c>
      <c r="D21">
        <v>75</v>
      </c>
      <c r="E21">
        <v>1.6141000000000001</v>
      </c>
      <c r="F21" s="5" t="s">
        <v>572</v>
      </c>
      <c r="G21" t="s">
        <v>573</v>
      </c>
      <c r="H21" s="6">
        <v>44667</v>
      </c>
      <c r="I21" s="6">
        <v>51501</v>
      </c>
      <c r="J21" t="s">
        <v>404</v>
      </c>
      <c r="K21" s="9"/>
      <c r="M21">
        <v>1</v>
      </c>
      <c r="N21" s="4">
        <v>0.35499999999999998</v>
      </c>
      <c r="O21">
        <v>355</v>
      </c>
      <c r="P21">
        <v>75</v>
      </c>
      <c r="Q21">
        <v>0.77439999999999998</v>
      </c>
      <c r="R21" s="5" t="s">
        <v>574</v>
      </c>
      <c r="S21" t="s">
        <v>575</v>
      </c>
      <c r="T21" s="6">
        <v>44667</v>
      </c>
      <c r="U21" s="6">
        <v>51501</v>
      </c>
      <c r="V21" t="s">
        <v>407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1"/>
        <v>0.6</v>
      </c>
      <c r="AM21">
        <v>600</v>
      </c>
      <c r="AN21" s="4">
        <v>2.4</v>
      </c>
      <c r="AO21">
        <v>75</v>
      </c>
      <c r="AP21">
        <v>4.7007000000000003</v>
      </c>
      <c r="AQ21" s="5" t="s">
        <v>576</v>
      </c>
      <c r="AR21" t="s">
        <v>577</v>
      </c>
      <c r="AS21" s="6">
        <v>44667</v>
      </c>
      <c r="AT21" s="6">
        <v>51501</v>
      </c>
      <c r="AU21" t="s">
        <v>407</v>
      </c>
      <c r="AV21" s="9"/>
      <c r="AX21">
        <v>12</v>
      </c>
      <c r="AY21" s="4">
        <f t="shared" si="2"/>
        <v>0.34</v>
      </c>
      <c r="AZ21">
        <v>340</v>
      </c>
      <c r="BA21" s="4">
        <v>4.08</v>
      </c>
      <c r="BB21">
        <v>75</v>
      </c>
      <c r="BC21">
        <v>7.7187000000000001</v>
      </c>
      <c r="BD21" s="5" t="s">
        <v>578</v>
      </c>
      <c r="BE21" t="s">
        <v>579</v>
      </c>
      <c r="BF21" s="6">
        <v>44667</v>
      </c>
      <c r="BG21" s="6">
        <v>51501</v>
      </c>
      <c r="BH21" t="s">
        <v>404</v>
      </c>
      <c r="BI21" s="9"/>
    </row>
    <row r="22" spans="1:61" x14ac:dyDescent="0.35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s="5" t="s">
        <v>941</v>
      </c>
      <c r="G22" t="s">
        <v>942</v>
      </c>
      <c r="H22" s="6">
        <v>44667</v>
      </c>
      <c r="I22" s="6">
        <v>51501</v>
      </c>
      <c r="J22" t="s">
        <v>404</v>
      </c>
      <c r="K22" s="9"/>
      <c r="M22">
        <v>1</v>
      </c>
      <c r="N22" s="4">
        <v>0.375</v>
      </c>
      <c r="O22">
        <v>375</v>
      </c>
      <c r="P22">
        <v>75</v>
      </c>
      <c r="Q22">
        <v>0.81789999999999996</v>
      </c>
      <c r="R22" s="5" t="s">
        <v>580</v>
      </c>
      <c r="S22" t="s">
        <v>581</v>
      </c>
      <c r="T22" s="6">
        <v>44667</v>
      </c>
      <c r="U22" s="6">
        <v>51501</v>
      </c>
      <c r="V22" t="s">
        <v>407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1"/>
        <v>0.5</v>
      </c>
      <c r="AM22">
        <v>500</v>
      </c>
      <c r="AN22" s="4">
        <v>2.5</v>
      </c>
      <c r="AO22">
        <v>75</v>
      </c>
      <c r="AP22">
        <v>4.8966000000000003</v>
      </c>
      <c r="AQ22" s="5" t="s">
        <v>582</v>
      </c>
      <c r="AR22" t="s">
        <v>583</v>
      </c>
      <c r="AS22" s="6">
        <v>44667</v>
      </c>
      <c r="AT22" s="6">
        <v>51501</v>
      </c>
      <c r="AU22" t="s">
        <v>407</v>
      </c>
      <c r="AV22" s="9"/>
      <c r="AX22">
        <v>12</v>
      </c>
      <c r="AY22" s="4">
        <f t="shared" si="2"/>
        <v>0.34100000000000003</v>
      </c>
      <c r="AZ22">
        <v>341</v>
      </c>
      <c r="BA22" s="4">
        <v>4.0920000000000005</v>
      </c>
      <c r="BB22">
        <v>75</v>
      </c>
      <c r="BC22">
        <v>7.7412999999999998</v>
      </c>
      <c r="BD22" s="5" t="s">
        <v>584</v>
      </c>
      <c r="BE22" t="s">
        <v>585</v>
      </c>
      <c r="BF22" s="6">
        <v>44667</v>
      </c>
      <c r="BG22" s="6">
        <v>51501</v>
      </c>
      <c r="BH22" t="s">
        <v>404</v>
      </c>
      <c r="BI22" s="9"/>
    </row>
    <row r="23" spans="1:61" x14ac:dyDescent="0.35">
      <c r="B23" s="4"/>
      <c r="F23" s="5"/>
      <c r="H23" s="6"/>
      <c r="I23" s="6"/>
      <c r="M23">
        <v>1</v>
      </c>
      <c r="N23" s="4">
        <v>0.44</v>
      </c>
      <c r="O23">
        <v>440</v>
      </c>
      <c r="P23">
        <v>75</v>
      </c>
      <c r="Q23">
        <v>0.95979999999999999</v>
      </c>
      <c r="R23" s="5" t="s">
        <v>586</v>
      </c>
      <c r="S23" t="s">
        <v>587</v>
      </c>
      <c r="T23" s="6">
        <v>44667</v>
      </c>
      <c r="U23" s="6">
        <v>51501</v>
      </c>
      <c r="V23" t="s">
        <v>407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1"/>
        <v>0.33</v>
      </c>
      <c r="AM23">
        <v>330</v>
      </c>
      <c r="AN23" s="4">
        <v>2.64</v>
      </c>
      <c r="AO23">
        <v>75</v>
      </c>
      <c r="AP23">
        <v>5.1707000000000001</v>
      </c>
      <c r="AQ23" s="5" t="s">
        <v>588</v>
      </c>
      <c r="AR23" t="s">
        <v>589</v>
      </c>
      <c r="AS23" s="6">
        <v>44667</v>
      </c>
      <c r="AT23" s="6">
        <v>51501</v>
      </c>
      <c r="AU23" t="s">
        <v>407</v>
      </c>
      <c r="AV23" s="9"/>
      <c r="AX23">
        <v>9</v>
      </c>
      <c r="AY23" s="4">
        <f t="shared" si="2"/>
        <v>0.47299999999999998</v>
      </c>
      <c r="AZ23">
        <v>473</v>
      </c>
      <c r="BA23" s="4">
        <v>4.2569999999999997</v>
      </c>
      <c r="BB23">
        <v>75</v>
      </c>
      <c r="BC23">
        <v>8.0534999999999997</v>
      </c>
      <c r="BD23" s="5" t="s">
        <v>590</v>
      </c>
      <c r="BE23" t="s">
        <v>591</v>
      </c>
      <c r="BF23" s="6">
        <v>44667</v>
      </c>
      <c r="BG23" s="6">
        <v>51501</v>
      </c>
      <c r="BH23" t="s">
        <v>404</v>
      </c>
      <c r="BI23" s="9"/>
    </row>
    <row r="24" spans="1:61" x14ac:dyDescent="0.35">
      <c r="B24" s="4"/>
      <c r="F24" s="5"/>
      <c r="H24" s="6"/>
      <c r="I24" s="6"/>
      <c r="M24">
        <v>1</v>
      </c>
      <c r="N24" s="4">
        <v>0.45</v>
      </c>
      <c r="O24">
        <v>450</v>
      </c>
      <c r="P24">
        <v>75</v>
      </c>
      <c r="Q24">
        <v>0.98160000000000003</v>
      </c>
      <c r="R24" s="5" t="s">
        <v>592</v>
      </c>
      <c r="S24" t="s">
        <v>593</v>
      </c>
      <c r="T24" s="6">
        <v>44667</v>
      </c>
      <c r="U24" s="6">
        <v>51501</v>
      </c>
      <c r="V24" t="s">
        <v>407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1"/>
        <v>0.5</v>
      </c>
      <c r="AM24">
        <v>500</v>
      </c>
      <c r="AN24" s="4">
        <v>3</v>
      </c>
      <c r="AO24">
        <v>75</v>
      </c>
      <c r="AP24">
        <v>5.8758999999999997</v>
      </c>
      <c r="AQ24" s="5" t="s">
        <v>594</v>
      </c>
      <c r="AR24" t="s">
        <v>595</v>
      </c>
      <c r="AS24" s="6">
        <v>44667</v>
      </c>
      <c r="AT24" s="6">
        <v>51501</v>
      </c>
      <c r="AU24" t="s">
        <v>407</v>
      </c>
      <c r="AV24" s="9"/>
      <c r="AX24">
        <v>12</v>
      </c>
      <c r="AY24" s="4">
        <f t="shared" si="2"/>
        <v>0.35499999999999998</v>
      </c>
      <c r="AZ24">
        <v>355</v>
      </c>
      <c r="BA24" s="4">
        <v>4.26</v>
      </c>
      <c r="BB24">
        <v>75</v>
      </c>
      <c r="BC24">
        <v>8.0592000000000006</v>
      </c>
      <c r="BD24" s="5" t="s">
        <v>596</v>
      </c>
      <c r="BE24" t="s">
        <v>597</v>
      </c>
      <c r="BF24" s="6">
        <v>44667</v>
      </c>
      <c r="BG24" s="6">
        <v>51501</v>
      </c>
      <c r="BH24" t="s">
        <v>404</v>
      </c>
      <c r="BI24" s="9"/>
    </row>
    <row r="25" spans="1:61" x14ac:dyDescent="0.35">
      <c r="B25" s="4"/>
      <c r="F25" s="5"/>
      <c r="H25" s="6"/>
      <c r="I25" s="6"/>
      <c r="M25">
        <v>1</v>
      </c>
      <c r="N25" s="4">
        <v>0.47299999999999998</v>
      </c>
      <c r="O25">
        <v>473</v>
      </c>
      <c r="P25">
        <v>75</v>
      </c>
      <c r="Q25">
        <v>1.0317000000000001</v>
      </c>
      <c r="R25" s="5" t="s">
        <v>598</v>
      </c>
      <c r="S25" t="s">
        <v>599</v>
      </c>
      <c r="T25" s="6">
        <v>44667</v>
      </c>
      <c r="U25" s="6">
        <v>51501</v>
      </c>
      <c r="V25" t="s">
        <v>407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1"/>
        <v>0.33</v>
      </c>
      <c r="AM25">
        <v>330</v>
      </c>
      <c r="AN25" s="4">
        <v>3.96</v>
      </c>
      <c r="AO25">
        <v>75</v>
      </c>
      <c r="AP25">
        <v>7.4916</v>
      </c>
      <c r="AQ25" s="5" t="s">
        <v>600</v>
      </c>
      <c r="AR25" t="s">
        <v>601</v>
      </c>
      <c r="AS25" s="6">
        <v>44667</v>
      </c>
      <c r="AT25" s="6">
        <v>51501</v>
      </c>
      <c r="AU25" t="s">
        <v>407</v>
      </c>
      <c r="AV25" s="9"/>
      <c r="AX25">
        <v>15</v>
      </c>
      <c r="AY25" s="4">
        <f t="shared" si="2"/>
        <v>0.35499999999999998</v>
      </c>
      <c r="AZ25">
        <v>355</v>
      </c>
      <c r="BA25" s="4">
        <v>5.3250000000000002</v>
      </c>
      <c r="BB25">
        <v>75</v>
      </c>
      <c r="BC25">
        <v>10.0739</v>
      </c>
      <c r="BD25" s="5" t="s">
        <v>602</v>
      </c>
      <c r="BE25" t="s">
        <v>603</v>
      </c>
      <c r="BF25" s="6">
        <v>44667</v>
      </c>
      <c r="BG25" s="6">
        <v>51501</v>
      </c>
      <c r="BH25" t="s">
        <v>404</v>
      </c>
      <c r="BI25" s="9"/>
    </row>
    <row r="26" spans="1:61" x14ac:dyDescent="0.35">
      <c r="B26" s="4"/>
      <c r="F26" s="5"/>
      <c r="H26" s="6"/>
      <c r="I26" s="6"/>
      <c r="M26">
        <v>1</v>
      </c>
      <c r="N26" s="4">
        <v>0.5</v>
      </c>
      <c r="O26">
        <v>500</v>
      </c>
      <c r="P26">
        <v>75</v>
      </c>
      <c r="Q26">
        <v>1.0907</v>
      </c>
      <c r="R26" s="5" t="s">
        <v>604</v>
      </c>
      <c r="S26" t="s">
        <v>605</v>
      </c>
      <c r="T26" s="6">
        <v>44667</v>
      </c>
      <c r="U26" s="6">
        <v>51501</v>
      </c>
      <c r="V26" t="s">
        <v>407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1"/>
        <v>0.34100000000000003</v>
      </c>
      <c r="AM26">
        <v>341</v>
      </c>
      <c r="AN26" s="4">
        <v>4.0920000000000005</v>
      </c>
      <c r="AO26">
        <v>75</v>
      </c>
      <c r="AP26">
        <v>7.7412999999999998</v>
      </c>
      <c r="AQ26" s="5" t="s">
        <v>606</v>
      </c>
      <c r="AR26" t="s">
        <v>607</v>
      </c>
      <c r="AS26" s="6">
        <v>44667</v>
      </c>
      <c r="AT26" s="6">
        <v>51501</v>
      </c>
      <c r="AU26" t="s">
        <v>407</v>
      </c>
      <c r="AV26" s="9"/>
      <c r="AX26">
        <v>24</v>
      </c>
      <c r="AY26" s="4">
        <f t="shared" si="2"/>
        <v>0.33</v>
      </c>
      <c r="AZ26">
        <v>330</v>
      </c>
      <c r="BA26" s="4">
        <v>7.92</v>
      </c>
      <c r="BB26">
        <v>75</v>
      </c>
      <c r="BC26">
        <v>14.9832</v>
      </c>
      <c r="BD26" s="5" t="s">
        <v>608</v>
      </c>
      <c r="BE26" t="s">
        <v>609</v>
      </c>
      <c r="BF26" s="6">
        <v>44667</v>
      </c>
      <c r="BG26" s="6">
        <v>51501</v>
      </c>
      <c r="BH26" t="s">
        <v>404</v>
      </c>
      <c r="BI26" s="9"/>
    </row>
    <row r="27" spans="1:61" x14ac:dyDescent="0.35">
      <c r="B27" s="4"/>
      <c r="F27" s="5"/>
      <c r="H27" s="6"/>
      <c r="I27" s="6"/>
      <c r="M27">
        <v>1</v>
      </c>
      <c r="N27" s="4">
        <v>0.55000000000000004</v>
      </c>
      <c r="O27">
        <v>550</v>
      </c>
      <c r="P27">
        <v>75</v>
      </c>
      <c r="Q27">
        <v>1.1997</v>
      </c>
      <c r="R27" s="5" t="s">
        <v>610</v>
      </c>
      <c r="S27" t="s">
        <v>611</v>
      </c>
      <c r="T27" s="6">
        <v>44667</v>
      </c>
      <c r="U27" s="6">
        <v>51501</v>
      </c>
      <c r="V27" t="s">
        <v>407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1"/>
        <v>0.35499999999999998</v>
      </c>
      <c r="AM27">
        <v>355</v>
      </c>
      <c r="AN27" s="4">
        <v>4.26</v>
      </c>
      <c r="AO27">
        <v>75</v>
      </c>
      <c r="AP27">
        <v>8.0592000000000006</v>
      </c>
      <c r="AQ27" s="5" t="s">
        <v>612</v>
      </c>
      <c r="AR27" t="s">
        <v>613</v>
      </c>
      <c r="AS27" s="6">
        <v>44667</v>
      </c>
      <c r="AT27" s="6">
        <v>51501</v>
      </c>
      <c r="AU27" t="s">
        <v>407</v>
      </c>
      <c r="AV27" s="9"/>
      <c r="AX27">
        <v>24</v>
      </c>
      <c r="AY27" s="4">
        <f t="shared" si="2"/>
        <v>0.35499999999999998</v>
      </c>
      <c r="AZ27">
        <v>355</v>
      </c>
      <c r="BA27" s="4">
        <v>8.52</v>
      </c>
      <c r="BB27">
        <v>75</v>
      </c>
      <c r="BC27">
        <v>16.118400000000001</v>
      </c>
      <c r="BD27" s="5" t="s">
        <v>614</v>
      </c>
      <c r="BE27" t="s">
        <v>615</v>
      </c>
      <c r="BF27" s="6">
        <v>44667</v>
      </c>
      <c r="BG27" s="6">
        <v>51501</v>
      </c>
      <c r="BH27" t="s">
        <v>404</v>
      </c>
      <c r="BI27" s="9"/>
    </row>
    <row r="28" spans="1:61" x14ac:dyDescent="0.35">
      <c r="B28" s="4"/>
      <c r="F28" s="5"/>
      <c r="H28" s="6"/>
      <c r="I28" s="6"/>
      <c r="M28">
        <v>1</v>
      </c>
      <c r="N28" s="4">
        <v>0.56799999999999995</v>
      </c>
      <c r="O28">
        <v>568</v>
      </c>
      <c r="P28">
        <v>75</v>
      </c>
      <c r="Q28">
        <v>1.2388999999999999</v>
      </c>
      <c r="R28" s="5" t="s">
        <v>616</v>
      </c>
      <c r="S28" t="s">
        <v>617</v>
      </c>
      <c r="T28" s="6">
        <v>44667</v>
      </c>
      <c r="U28" s="6">
        <v>51501</v>
      </c>
      <c r="V28" t="s">
        <v>407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1"/>
        <v>0.33</v>
      </c>
      <c r="AM28">
        <v>330</v>
      </c>
      <c r="AN28" s="4">
        <v>5.94</v>
      </c>
      <c r="AO28">
        <v>75</v>
      </c>
      <c r="AP28">
        <v>11.237500000000001</v>
      </c>
      <c r="AQ28" s="5" t="s">
        <v>618</v>
      </c>
      <c r="AR28" t="s">
        <v>619</v>
      </c>
      <c r="AS28" s="6">
        <v>44667</v>
      </c>
      <c r="AT28" s="6">
        <v>51501</v>
      </c>
      <c r="AU28" t="s">
        <v>407</v>
      </c>
      <c r="AV28" s="9"/>
      <c r="AX28">
        <v>30</v>
      </c>
      <c r="AY28" s="4">
        <f t="shared" si="2"/>
        <v>0.29599999999999999</v>
      </c>
      <c r="AZ28">
        <v>296</v>
      </c>
      <c r="BA28" s="4">
        <v>8.879999999999999</v>
      </c>
      <c r="BB28">
        <v>75</v>
      </c>
      <c r="BC28">
        <v>16.799399999999999</v>
      </c>
      <c r="BD28" s="5" t="s">
        <v>620</v>
      </c>
      <c r="BE28" t="s">
        <v>621</v>
      </c>
      <c r="BF28" s="6">
        <v>44667</v>
      </c>
      <c r="BG28" s="6">
        <v>51501</v>
      </c>
      <c r="BH28" t="s">
        <v>404</v>
      </c>
      <c r="BI28" s="9"/>
    </row>
    <row r="29" spans="1:61" x14ac:dyDescent="0.35">
      <c r="B29" s="4"/>
      <c r="F29" s="5"/>
      <c r="H29" s="6"/>
      <c r="I29" s="6"/>
      <c r="M29">
        <v>1</v>
      </c>
      <c r="N29" s="4">
        <v>0.6</v>
      </c>
      <c r="O29">
        <v>600</v>
      </c>
      <c r="P29">
        <v>75</v>
      </c>
      <c r="Q29">
        <v>1.3088</v>
      </c>
      <c r="R29" s="5" t="s">
        <v>622</v>
      </c>
      <c r="S29" t="s">
        <v>623</v>
      </c>
      <c r="T29" s="6">
        <v>44667</v>
      </c>
      <c r="U29" s="6">
        <v>51501</v>
      </c>
      <c r="V29" t="s">
        <v>407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1"/>
        <v>0.5</v>
      </c>
      <c r="AM29">
        <v>500</v>
      </c>
      <c r="AN29" s="4">
        <v>6</v>
      </c>
      <c r="AO29">
        <v>75</v>
      </c>
      <c r="AP29">
        <v>11.350899999999999</v>
      </c>
      <c r="AQ29" s="5" t="s">
        <v>624</v>
      </c>
      <c r="AR29" t="s">
        <v>625</v>
      </c>
      <c r="AS29" s="6">
        <v>44667</v>
      </c>
      <c r="AT29" s="6">
        <v>51501</v>
      </c>
      <c r="AU29" t="s">
        <v>407</v>
      </c>
      <c r="AV29" s="9"/>
      <c r="AX29">
        <v>24</v>
      </c>
      <c r="AY29" s="4">
        <f t="shared" si="2"/>
        <v>0.47299999999999998</v>
      </c>
      <c r="AZ29">
        <v>473</v>
      </c>
      <c r="BA29" s="4">
        <v>11.352</v>
      </c>
      <c r="BB29">
        <v>75</v>
      </c>
      <c r="BC29">
        <v>21.475999999999999</v>
      </c>
      <c r="BD29" s="5" t="s">
        <v>626</v>
      </c>
      <c r="BE29" t="s">
        <v>627</v>
      </c>
      <c r="BF29" s="6">
        <v>44667</v>
      </c>
      <c r="BG29" s="6">
        <v>51501</v>
      </c>
      <c r="BH29" t="s">
        <v>404</v>
      </c>
      <c r="BI29" s="9"/>
    </row>
    <row r="30" spans="1:61" x14ac:dyDescent="0.35">
      <c r="B30" s="4"/>
      <c r="F30" s="5"/>
      <c r="H30" s="6"/>
      <c r="I30" s="6"/>
      <c r="M30">
        <v>1</v>
      </c>
      <c r="N30" s="4">
        <v>0.625</v>
      </c>
      <c r="O30">
        <v>625</v>
      </c>
      <c r="P30">
        <v>75</v>
      </c>
      <c r="Q30">
        <v>1.3633</v>
      </c>
      <c r="R30" s="5" t="s">
        <v>628</v>
      </c>
      <c r="S30" t="s">
        <v>629</v>
      </c>
      <c r="T30" s="6">
        <v>44667</v>
      </c>
      <c r="U30" s="6">
        <v>51501</v>
      </c>
      <c r="V30" t="s">
        <v>407</v>
      </c>
      <c r="W30" s="9"/>
      <c r="AK30">
        <v>20</v>
      </c>
      <c r="AL30" s="4">
        <f t="shared" si="1"/>
        <v>0.33</v>
      </c>
      <c r="AM30">
        <v>330</v>
      </c>
      <c r="AN30" s="4">
        <v>6.6000000000000005</v>
      </c>
      <c r="AO30">
        <v>75</v>
      </c>
      <c r="AP30">
        <v>12.486000000000001</v>
      </c>
      <c r="AQ30" s="5" t="s">
        <v>630</v>
      </c>
      <c r="AR30" t="s">
        <v>631</v>
      </c>
      <c r="AS30" s="6">
        <v>44667</v>
      </c>
      <c r="AT30" s="6">
        <v>51501</v>
      </c>
      <c r="AU30" t="s">
        <v>407</v>
      </c>
      <c r="AV30" s="9"/>
      <c r="AX30">
        <v>36</v>
      </c>
      <c r="AY30" s="4">
        <f t="shared" si="2"/>
        <v>0.35499999999999998</v>
      </c>
      <c r="AZ30">
        <v>355</v>
      </c>
      <c r="BA30" s="4">
        <v>12.78</v>
      </c>
      <c r="BB30">
        <v>75</v>
      </c>
      <c r="BC30">
        <v>24.177499999999998</v>
      </c>
      <c r="BD30" s="5" t="s">
        <v>632</v>
      </c>
      <c r="BE30" t="s">
        <v>633</v>
      </c>
      <c r="BF30" s="6">
        <v>44667</v>
      </c>
      <c r="BG30" s="6">
        <v>51501</v>
      </c>
      <c r="BH30" t="s">
        <v>404</v>
      </c>
      <c r="BI30" s="9"/>
    </row>
    <row r="31" spans="1:61" x14ac:dyDescent="0.35">
      <c r="B31" s="4"/>
      <c r="F31" s="5"/>
      <c r="H31" s="6"/>
      <c r="I31" s="6"/>
      <c r="M31">
        <v>1</v>
      </c>
      <c r="N31" s="4">
        <v>0.63</v>
      </c>
      <c r="O31">
        <v>630</v>
      </c>
      <c r="P31">
        <v>75</v>
      </c>
      <c r="Q31">
        <v>1.3742000000000001</v>
      </c>
      <c r="R31" s="5" t="s">
        <v>634</v>
      </c>
      <c r="S31" t="s">
        <v>635</v>
      </c>
      <c r="T31" s="6">
        <v>44667</v>
      </c>
      <c r="U31" s="6">
        <v>51501</v>
      </c>
      <c r="V31" t="s">
        <v>407</v>
      </c>
      <c r="W31" s="9"/>
      <c r="AK31">
        <v>24</v>
      </c>
      <c r="AL31" s="4">
        <f t="shared" si="1"/>
        <v>0.33</v>
      </c>
      <c r="AM31">
        <v>330</v>
      </c>
      <c r="AN31" s="4">
        <v>7.92</v>
      </c>
      <c r="AO31">
        <v>75</v>
      </c>
      <c r="AP31">
        <v>14.9832</v>
      </c>
      <c r="AQ31" s="5" t="s">
        <v>636</v>
      </c>
      <c r="AR31" t="s">
        <v>637</v>
      </c>
      <c r="AS31" s="6">
        <v>44667</v>
      </c>
      <c r="AT31" s="6">
        <v>51501</v>
      </c>
      <c r="AU31" t="s">
        <v>407</v>
      </c>
      <c r="AV31" s="9"/>
      <c r="AX31">
        <v>4</v>
      </c>
      <c r="AY31" s="4">
        <f t="shared" si="2"/>
        <v>0.47299999999999998</v>
      </c>
      <c r="AZ31">
        <v>473</v>
      </c>
      <c r="BA31" s="4">
        <v>1.8919999999999999</v>
      </c>
      <c r="BB31">
        <v>75</v>
      </c>
      <c r="BC31">
        <v>3.7058</v>
      </c>
      <c r="BD31" s="5" t="s">
        <v>973</v>
      </c>
      <c r="BE31" t="s">
        <v>474</v>
      </c>
      <c r="BF31" s="6">
        <v>44667</v>
      </c>
      <c r="BG31" s="6">
        <v>51501</v>
      </c>
      <c r="BH31" t="s">
        <v>404</v>
      </c>
      <c r="BI31" s="9"/>
    </row>
    <row r="32" spans="1:61" x14ac:dyDescent="0.35">
      <c r="B32" s="4"/>
      <c r="F32" s="5"/>
      <c r="H32" s="6"/>
      <c r="I32" s="6"/>
      <c r="M32">
        <v>1</v>
      </c>
      <c r="N32" s="4">
        <v>0.63300000000000001</v>
      </c>
      <c r="O32">
        <v>633</v>
      </c>
      <c r="P32">
        <v>75</v>
      </c>
      <c r="Q32">
        <v>1.3807</v>
      </c>
      <c r="R32" s="5" t="s">
        <v>638</v>
      </c>
      <c r="S32" t="s">
        <v>639</v>
      </c>
      <c r="T32" s="6">
        <v>44667</v>
      </c>
      <c r="U32" s="6">
        <v>51501</v>
      </c>
      <c r="V32" t="s">
        <v>407</v>
      </c>
      <c r="W32" s="9"/>
      <c r="AK32">
        <v>24</v>
      </c>
      <c r="AL32" s="4">
        <f t="shared" si="1"/>
        <v>0.34100000000000003</v>
      </c>
      <c r="AM32">
        <v>341</v>
      </c>
      <c r="AN32" s="4">
        <v>8.1840000000000011</v>
      </c>
      <c r="AO32">
        <v>75</v>
      </c>
      <c r="AP32">
        <v>15.482699999999999</v>
      </c>
      <c r="AQ32" s="5" t="s">
        <v>640</v>
      </c>
      <c r="AR32" t="s">
        <v>641</v>
      </c>
      <c r="AS32" s="6">
        <v>44667</v>
      </c>
      <c r="AT32" s="6">
        <v>51501</v>
      </c>
      <c r="AU32" t="s">
        <v>407</v>
      </c>
      <c r="AV32" s="9"/>
      <c r="AX32">
        <v>4</v>
      </c>
      <c r="AY32" s="4">
        <f t="shared" si="2"/>
        <v>0.5</v>
      </c>
      <c r="AZ32">
        <v>500</v>
      </c>
      <c r="BA32" s="4">
        <v>2</v>
      </c>
      <c r="BB32">
        <v>75</v>
      </c>
      <c r="BC32">
        <v>3.9171999999999998</v>
      </c>
      <c r="BD32" s="5" t="s">
        <v>974</v>
      </c>
      <c r="BE32" t="s">
        <v>975</v>
      </c>
      <c r="BF32" s="6">
        <v>44667</v>
      </c>
      <c r="BG32" s="6">
        <v>51501</v>
      </c>
      <c r="BH32" t="s">
        <v>404</v>
      </c>
      <c r="BI32" s="9"/>
    </row>
    <row r="33" spans="2:61" x14ac:dyDescent="0.35">
      <c r="B33" s="4"/>
      <c r="F33" s="5"/>
      <c r="H33" s="6"/>
      <c r="I33" s="6"/>
      <c r="M33">
        <v>1</v>
      </c>
      <c r="N33" s="4">
        <v>0.64</v>
      </c>
      <c r="O33">
        <v>640</v>
      </c>
      <c r="P33">
        <v>75</v>
      </c>
      <c r="Q33">
        <v>1.3959999999999999</v>
      </c>
      <c r="R33" s="5" t="s">
        <v>642</v>
      </c>
      <c r="S33" t="s">
        <v>643</v>
      </c>
      <c r="T33" s="6">
        <v>44667</v>
      </c>
      <c r="U33" s="6">
        <v>51501</v>
      </c>
      <c r="V33" t="s">
        <v>407</v>
      </c>
      <c r="W33" s="9"/>
      <c r="AK33">
        <v>24</v>
      </c>
      <c r="AL33" s="4">
        <f t="shared" si="1"/>
        <v>0.35499999999999998</v>
      </c>
      <c r="AM33">
        <v>355</v>
      </c>
      <c r="AN33" s="4">
        <v>8.52</v>
      </c>
      <c r="AO33">
        <v>75</v>
      </c>
      <c r="AP33">
        <v>16.118400000000001</v>
      </c>
      <c r="AQ33" s="5" t="s">
        <v>644</v>
      </c>
      <c r="AR33" t="s">
        <v>645</v>
      </c>
      <c r="AS33" s="6">
        <v>44667</v>
      </c>
      <c r="AT33" s="6">
        <v>51501</v>
      </c>
      <c r="AU33" t="s">
        <v>407</v>
      </c>
      <c r="AV33" s="9"/>
      <c r="AX33">
        <v>8</v>
      </c>
      <c r="AY33" s="4">
        <f t="shared" si="2"/>
        <v>0.222</v>
      </c>
      <c r="AZ33">
        <v>222</v>
      </c>
      <c r="BA33" s="4">
        <v>1.776</v>
      </c>
      <c r="BB33">
        <v>75</v>
      </c>
      <c r="BC33">
        <v>3.4786000000000001</v>
      </c>
      <c r="BD33" s="5" t="s">
        <v>976</v>
      </c>
      <c r="BE33" t="s">
        <v>977</v>
      </c>
      <c r="BF33" s="6">
        <v>44667</v>
      </c>
      <c r="BG33" s="6">
        <v>51501</v>
      </c>
      <c r="BH33" t="s">
        <v>404</v>
      </c>
      <c r="BI33" s="9"/>
    </row>
    <row r="34" spans="2:61" x14ac:dyDescent="0.35">
      <c r="B34" s="4"/>
      <c r="F34" s="5"/>
      <c r="H34" s="6"/>
      <c r="I34" s="6"/>
      <c r="M34">
        <v>1</v>
      </c>
      <c r="N34" s="4">
        <v>0.65</v>
      </c>
      <c r="O34">
        <v>650</v>
      </c>
      <c r="P34">
        <v>75</v>
      </c>
      <c r="Q34">
        <v>1.4177</v>
      </c>
      <c r="R34" s="5" t="s">
        <v>646</v>
      </c>
      <c r="S34" t="s">
        <v>647</v>
      </c>
      <c r="T34" s="6">
        <v>44667</v>
      </c>
      <c r="U34" s="6">
        <v>51501</v>
      </c>
      <c r="V34" t="s">
        <v>407</v>
      </c>
      <c r="W34" s="9"/>
      <c r="AK34">
        <v>4</v>
      </c>
      <c r="AL34" s="4">
        <f t="shared" si="1"/>
        <v>0.65</v>
      </c>
      <c r="AM34">
        <v>650</v>
      </c>
      <c r="AN34" s="4">
        <v>2.6</v>
      </c>
      <c r="AO34">
        <v>75</v>
      </c>
      <c r="AP34">
        <v>5.0923999999999996</v>
      </c>
      <c r="AQ34" s="5" t="s">
        <v>949</v>
      </c>
      <c r="AR34" t="s">
        <v>950</v>
      </c>
      <c r="AS34" s="6">
        <v>44667</v>
      </c>
      <c r="AT34" s="6">
        <v>51501</v>
      </c>
      <c r="AU34" t="s">
        <v>407</v>
      </c>
      <c r="AV34" s="9"/>
      <c r="AX34">
        <v>10</v>
      </c>
      <c r="AY34" s="4">
        <f t="shared" si="2"/>
        <v>0.47299999999999998</v>
      </c>
      <c r="AZ34">
        <v>473</v>
      </c>
      <c r="BA34" s="4">
        <v>4.7299999999999995</v>
      </c>
      <c r="BB34">
        <v>75</v>
      </c>
      <c r="BC34">
        <v>8.0591000000000008</v>
      </c>
      <c r="BD34" s="5" t="s">
        <v>978</v>
      </c>
      <c r="BE34" t="s">
        <v>979</v>
      </c>
      <c r="BF34" s="6">
        <v>44667</v>
      </c>
      <c r="BG34" s="6">
        <v>51501</v>
      </c>
      <c r="BH34" t="s">
        <v>404</v>
      </c>
      <c r="BI34" s="9"/>
    </row>
    <row r="35" spans="2:61" x14ac:dyDescent="0.35">
      <c r="B35" s="4"/>
      <c r="F35" s="5"/>
      <c r="H35" s="6"/>
      <c r="I35" s="6"/>
      <c r="M35">
        <v>1</v>
      </c>
      <c r="N35" s="4">
        <v>0.65800000000000003</v>
      </c>
      <c r="O35">
        <v>658</v>
      </c>
      <c r="P35">
        <v>75</v>
      </c>
      <c r="Q35">
        <v>1.4352</v>
      </c>
      <c r="R35" s="5" t="s">
        <v>648</v>
      </c>
      <c r="S35" t="s">
        <v>649</v>
      </c>
      <c r="T35" s="6">
        <v>44667</v>
      </c>
      <c r="U35" s="6">
        <v>51501</v>
      </c>
      <c r="V35" t="s">
        <v>407</v>
      </c>
      <c r="W35" s="9"/>
      <c r="AK35">
        <v>26</v>
      </c>
      <c r="AL35" s="4">
        <f t="shared" si="1"/>
        <v>0.34100000000000003</v>
      </c>
      <c r="AM35">
        <v>341</v>
      </c>
      <c r="AN35" s="4">
        <v>8.6519999999999992</v>
      </c>
      <c r="AO35">
        <v>75</v>
      </c>
      <c r="AP35">
        <v>16.368099999999998</v>
      </c>
      <c r="AQ35" s="5" t="s">
        <v>951</v>
      </c>
      <c r="AR35" t="s">
        <v>952</v>
      </c>
      <c r="AS35" s="6">
        <v>44667</v>
      </c>
      <c r="AT35" s="6">
        <v>51501</v>
      </c>
      <c r="AU35" t="s">
        <v>407</v>
      </c>
      <c r="AV35" s="9"/>
      <c r="AX35">
        <v>5</v>
      </c>
      <c r="AY35" s="4">
        <f t="shared" si="2"/>
        <v>0.47299999999999998</v>
      </c>
      <c r="AZ35">
        <v>473</v>
      </c>
      <c r="BA35" s="4">
        <v>2.3649999999999998</v>
      </c>
      <c r="BB35">
        <v>75</v>
      </c>
      <c r="BC35">
        <v>4.6318999999999999</v>
      </c>
      <c r="BD35" s="5" t="s">
        <v>980</v>
      </c>
      <c r="BE35" t="s">
        <v>981</v>
      </c>
      <c r="BF35" s="6">
        <v>44667</v>
      </c>
      <c r="BG35" s="6">
        <v>51501</v>
      </c>
      <c r="BH35" t="s">
        <v>404</v>
      </c>
      <c r="BI35" s="9"/>
    </row>
    <row r="36" spans="2:61" x14ac:dyDescent="0.35">
      <c r="B36" s="4"/>
      <c r="F36" s="5"/>
      <c r="H36" s="6"/>
      <c r="I36" s="6"/>
      <c r="M36">
        <v>1</v>
      </c>
      <c r="N36" s="4">
        <v>0.66</v>
      </c>
      <c r="O36">
        <v>660</v>
      </c>
      <c r="P36">
        <v>75</v>
      </c>
      <c r="Q36">
        <v>1.4396</v>
      </c>
      <c r="R36" s="5" t="s">
        <v>650</v>
      </c>
      <c r="S36" t="s">
        <v>651</v>
      </c>
      <c r="T36" s="6">
        <v>44667</v>
      </c>
      <c r="U36" s="6">
        <v>51501</v>
      </c>
      <c r="V36" t="s">
        <v>407</v>
      </c>
      <c r="W36" s="9"/>
      <c r="AK36">
        <v>22</v>
      </c>
      <c r="AL36" s="4">
        <f t="shared" si="1"/>
        <v>0.33</v>
      </c>
      <c r="AM36">
        <v>330</v>
      </c>
      <c r="AN36" s="4">
        <v>7.77</v>
      </c>
      <c r="AO36">
        <v>75</v>
      </c>
      <c r="AP36">
        <v>14.6988</v>
      </c>
      <c r="AQ36" s="5" t="s">
        <v>953</v>
      </c>
      <c r="AR36" t="s">
        <v>954</v>
      </c>
      <c r="AS36" s="6">
        <v>44667</v>
      </c>
      <c r="AT36" s="6">
        <v>51501</v>
      </c>
      <c r="AU36" t="s">
        <v>407</v>
      </c>
      <c r="AV36" s="9"/>
      <c r="AX36">
        <v>8</v>
      </c>
      <c r="AY36" s="4">
        <f t="shared" si="2"/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s="5" t="s">
        <v>982</v>
      </c>
      <c r="BE36" t="s">
        <v>983</v>
      </c>
      <c r="BF36" s="6">
        <v>44667</v>
      </c>
      <c r="BG36" s="6">
        <v>51501</v>
      </c>
      <c r="BH36" t="s">
        <v>404</v>
      </c>
      <c r="BI36" s="9"/>
    </row>
    <row r="37" spans="2:61" x14ac:dyDescent="0.35">
      <c r="B37" s="4"/>
      <c r="F37" s="5"/>
      <c r="H37" s="6"/>
      <c r="I37" s="6"/>
      <c r="M37">
        <v>1</v>
      </c>
      <c r="N37" s="4">
        <v>0.71</v>
      </c>
      <c r="O37">
        <v>710</v>
      </c>
      <c r="P37">
        <v>75</v>
      </c>
      <c r="Q37">
        <v>1.5486</v>
      </c>
      <c r="R37" s="5" t="s">
        <v>652</v>
      </c>
      <c r="S37" t="s">
        <v>653</v>
      </c>
      <c r="T37" s="6">
        <v>44667</v>
      </c>
      <c r="U37" s="6">
        <v>51501</v>
      </c>
      <c r="V37" t="s">
        <v>407</v>
      </c>
      <c r="W37" s="9"/>
      <c r="AK37">
        <v>24</v>
      </c>
      <c r="AL37" s="4">
        <f t="shared" si="1"/>
        <v>0.33</v>
      </c>
      <c r="AM37">
        <v>330</v>
      </c>
      <c r="AN37" s="4">
        <v>8.43</v>
      </c>
      <c r="AO37">
        <v>75</v>
      </c>
      <c r="AP37">
        <v>15.947900000000001</v>
      </c>
      <c r="AQ37" s="5" t="s">
        <v>955</v>
      </c>
      <c r="AR37" t="s">
        <v>956</v>
      </c>
      <c r="AS37" s="6">
        <v>44667</v>
      </c>
      <c r="AT37" s="6">
        <v>51501</v>
      </c>
      <c r="AU37" t="s">
        <v>407</v>
      </c>
      <c r="AV37" s="9"/>
      <c r="AX37">
        <v>10</v>
      </c>
      <c r="AY37" s="4">
        <f t="shared" si="2"/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s="5" t="s">
        <v>984</v>
      </c>
      <c r="BE37" t="s">
        <v>985</v>
      </c>
      <c r="BF37" s="6">
        <v>44667</v>
      </c>
      <c r="BG37" s="6">
        <v>51501</v>
      </c>
      <c r="BH37" t="s">
        <v>404</v>
      </c>
      <c r="BI37" s="9"/>
    </row>
    <row r="38" spans="2:61" x14ac:dyDescent="0.35">
      <c r="B38" s="4"/>
      <c r="F38" s="5"/>
      <c r="H38" s="6"/>
      <c r="I38" s="6"/>
      <c r="M38">
        <v>1</v>
      </c>
      <c r="N38" s="4">
        <v>0.75</v>
      </c>
      <c r="O38">
        <v>750</v>
      </c>
      <c r="P38">
        <v>75</v>
      </c>
      <c r="Q38">
        <v>1.6358999999999999</v>
      </c>
      <c r="R38" s="5" t="s">
        <v>654</v>
      </c>
      <c r="S38" t="s">
        <v>655</v>
      </c>
      <c r="T38" s="6">
        <v>44667</v>
      </c>
      <c r="U38" s="6">
        <v>51501</v>
      </c>
      <c r="V38" t="s">
        <v>407</v>
      </c>
      <c r="W38" s="9"/>
      <c r="AK38">
        <v>22</v>
      </c>
      <c r="AL38" s="4">
        <f t="shared" si="1"/>
        <v>0.33</v>
      </c>
      <c r="AM38">
        <v>330</v>
      </c>
      <c r="AN38" s="4">
        <v>7.2600000000000007</v>
      </c>
      <c r="AO38">
        <v>75</v>
      </c>
      <c r="AP38">
        <v>13.7347</v>
      </c>
      <c r="AQ38" s="5" t="s">
        <v>957</v>
      </c>
      <c r="AR38" t="s">
        <v>958</v>
      </c>
      <c r="AS38" s="6">
        <v>44667</v>
      </c>
      <c r="AT38" s="6">
        <v>51501</v>
      </c>
      <c r="AU38" t="s">
        <v>407</v>
      </c>
      <c r="AV38" s="9"/>
      <c r="AX38">
        <v>28</v>
      </c>
      <c r="AY38" s="4">
        <f t="shared" si="2"/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s="5" t="s">
        <v>986</v>
      </c>
      <c r="BE38" t="s">
        <v>987</v>
      </c>
      <c r="BF38" s="6">
        <v>44667</v>
      </c>
      <c r="BG38" s="6">
        <v>51501</v>
      </c>
      <c r="BH38" t="s">
        <v>404</v>
      </c>
      <c r="BI38" s="9"/>
    </row>
    <row r="39" spans="2:61" x14ac:dyDescent="0.35">
      <c r="B39" s="4"/>
      <c r="F39" s="5"/>
      <c r="H39" s="6"/>
      <c r="I39" s="6"/>
      <c r="M39">
        <v>1</v>
      </c>
      <c r="N39" s="4">
        <v>0.76500000000000001</v>
      </c>
      <c r="O39">
        <v>765</v>
      </c>
      <c r="P39">
        <v>75</v>
      </c>
      <c r="Q39">
        <v>1.6686000000000001</v>
      </c>
      <c r="R39" s="5" t="s">
        <v>656</v>
      </c>
      <c r="S39" t="s">
        <v>657</v>
      </c>
      <c r="T39" s="6">
        <v>44667</v>
      </c>
      <c r="U39" s="6">
        <v>51501</v>
      </c>
      <c r="V39" t="s">
        <v>407</v>
      </c>
      <c r="W39" s="9"/>
      <c r="AK39">
        <v>24</v>
      </c>
      <c r="AL39" s="4">
        <f t="shared" si="1"/>
        <v>0.35499999999999998</v>
      </c>
      <c r="AM39">
        <v>355</v>
      </c>
      <c r="AN39" s="4">
        <v>8.4640000000000004</v>
      </c>
      <c r="AO39">
        <v>75</v>
      </c>
      <c r="AP39">
        <v>16.0124</v>
      </c>
      <c r="AQ39" s="5" t="s">
        <v>959</v>
      </c>
      <c r="AR39" t="s">
        <v>960</v>
      </c>
      <c r="AS39" s="6">
        <v>44667</v>
      </c>
      <c r="AT39" s="6">
        <v>51501</v>
      </c>
      <c r="AU39" t="s">
        <v>407</v>
      </c>
      <c r="AV39" s="9"/>
      <c r="AX39">
        <v>6</v>
      </c>
      <c r="AY39" s="4">
        <f t="shared" si="2"/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s="5" t="s">
        <v>988</v>
      </c>
      <c r="BE39" t="s">
        <v>989</v>
      </c>
      <c r="BF39" s="6">
        <v>44667</v>
      </c>
      <c r="BG39" s="6">
        <v>51501</v>
      </c>
      <c r="BH39" t="s">
        <v>404</v>
      </c>
      <c r="BI39" s="9"/>
    </row>
    <row r="40" spans="2:61" x14ac:dyDescent="0.35">
      <c r="B40" s="4"/>
      <c r="F40" s="5"/>
      <c r="H40" s="6"/>
      <c r="I40" s="6"/>
      <c r="M40">
        <v>1</v>
      </c>
      <c r="N40" s="4">
        <v>0.90900000000000003</v>
      </c>
      <c r="O40">
        <v>909</v>
      </c>
      <c r="P40">
        <v>75</v>
      </c>
      <c r="Q40">
        <v>1.9826999999999999</v>
      </c>
      <c r="R40" s="5" t="s">
        <v>658</v>
      </c>
      <c r="S40" t="s">
        <v>659</v>
      </c>
      <c r="T40" s="6">
        <v>44667</v>
      </c>
      <c r="U40" s="6">
        <v>51501</v>
      </c>
      <c r="V40" t="s">
        <v>407</v>
      </c>
      <c r="W40" s="9"/>
      <c r="AK40">
        <v>24</v>
      </c>
      <c r="AL40" s="4">
        <f t="shared" si="1"/>
        <v>0.35499999999999998</v>
      </c>
      <c r="AM40">
        <v>355</v>
      </c>
      <c r="AN40" s="4">
        <v>8.0050000000000008</v>
      </c>
      <c r="AO40">
        <v>75</v>
      </c>
      <c r="AP40">
        <v>15.144</v>
      </c>
      <c r="AQ40" s="5" t="s">
        <v>961</v>
      </c>
      <c r="AR40" t="s">
        <v>962</v>
      </c>
      <c r="AS40" s="6">
        <v>44667</v>
      </c>
      <c r="AT40" s="6">
        <v>51501</v>
      </c>
      <c r="AU40" t="s">
        <v>407</v>
      </c>
      <c r="AV40" s="9"/>
      <c r="AX40">
        <v>24</v>
      </c>
      <c r="AY40" s="4">
        <f t="shared" si="2"/>
        <v>0.5</v>
      </c>
      <c r="AZ40">
        <v>500</v>
      </c>
      <c r="BA40" s="4">
        <v>12</v>
      </c>
      <c r="BB40">
        <v>75</v>
      </c>
      <c r="BC40">
        <v>22.701899999999998</v>
      </c>
      <c r="BD40" s="5" t="s">
        <v>990</v>
      </c>
      <c r="BE40" t="s">
        <v>991</v>
      </c>
      <c r="BF40" s="6">
        <v>44667</v>
      </c>
      <c r="BG40" s="6">
        <v>51501</v>
      </c>
      <c r="BH40" t="s">
        <v>404</v>
      </c>
      <c r="BI40" s="9"/>
    </row>
    <row r="41" spans="2:61" x14ac:dyDescent="0.35">
      <c r="B41" s="4"/>
      <c r="F41" s="5"/>
      <c r="H41" s="6"/>
      <c r="I41" s="6"/>
      <c r="M41">
        <v>1</v>
      </c>
      <c r="N41" s="4">
        <v>0.94599999999999995</v>
      </c>
      <c r="O41">
        <v>946</v>
      </c>
      <c r="P41">
        <v>75</v>
      </c>
      <c r="Q41">
        <v>2.0634000000000001</v>
      </c>
      <c r="R41" s="5" t="s">
        <v>660</v>
      </c>
      <c r="S41" t="s">
        <v>661</v>
      </c>
      <c r="T41" s="6">
        <v>44667</v>
      </c>
      <c r="U41" s="6">
        <v>51501</v>
      </c>
      <c r="V41" t="s">
        <v>407</v>
      </c>
      <c r="W41" s="9"/>
      <c r="AK41">
        <v>24</v>
      </c>
      <c r="AL41" s="4">
        <f t="shared" si="1"/>
        <v>0.35499999999999998</v>
      </c>
      <c r="AM41">
        <v>355</v>
      </c>
      <c r="AN41" s="4">
        <v>8.609</v>
      </c>
      <c r="AO41">
        <v>75</v>
      </c>
      <c r="AP41">
        <v>16.2867</v>
      </c>
      <c r="AQ41" s="5" t="s">
        <v>963</v>
      </c>
      <c r="AR41" t="s">
        <v>964</v>
      </c>
      <c r="AS41" s="6">
        <v>44667</v>
      </c>
      <c r="AT41" s="6">
        <v>51501</v>
      </c>
      <c r="AU41" t="s">
        <v>407</v>
      </c>
      <c r="AV41" s="9"/>
      <c r="AX41">
        <v>15</v>
      </c>
      <c r="AY41" s="4">
        <f t="shared" si="2"/>
        <v>0.47299999999999998</v>
      </c>
      <c r="AZ41">
        <v>473</v>
      </c>
      <c r="BA41" s="4">
        <v>7.0949999999999998</v>
      </c>
      <c r="BB41">
        <v>75</v>
      </c>
      <c r="BC41">
        <v>13.422499999999999</v>
      </c>
      <c r="BD41" s="5" t="s">
        <v>992</v>
      </c>
      <c r="BE41" t="s">
        <v>993</v>
      </c>
      <c r="BF41" s="6">
        <v>44667</v>
      </c>
      <c r="BG41" s="6">
        <v>51501</v>
      </c>
      <c r="BH41" t="s">
        <v>404</v>
      </c>
      <c r="BI41" s="9"/>
    </row>
    <row r="42" spans="2:61" x14ac:dyDescent="0.35">
      <c r="M42">
        <v>1</v>
      </c>
      <c r="N42" s="4">
        <v>0.28399999999999997</v>
      </c>
      <c r="O42">
        <v>284</v>
      </c>
      <c r="P42">
        <v>75</v>
      </c>
      <c r="Q42">
        <v>0.61950000000000005</v>
      </c>
      <c r="R42" s="5" t="s">
        <v>943</v>
      </c>
      <c r="S42" t="s">
        <v>944</v>
      </c>
      <c r="T42" s="6">
        <v>44667</v>
      </c>
      <c r="U42" s="6">
        <v>51501</v>
      </c>
      <c r="V42" t="s">
        <v>407</v>
      </c>
      <c r="W42" s="9"/>
      <c r="AK42">
        <v>24</v>
      </c>
      <c r="AL42" s="4">
        <f t="shared" si="1"/>
        <v>0.35499999999999998</v>
      </c>
      <c r="AM42">
        <v>355</v>
      </c>
      <c r="AN42" s="4">
        <v>8.0519999999999996</v>
      </c>
      <c r="AO42">
        <v>75</v>
      </c>
      <c r="AP42">
        <v>15.233000000000001</v>
      </c>
      <c r="AQ42" s="5" t="s">
        <v>965</v>
      </c>
      <c r="AR42" t="s">
        <v>966</v>
      </c>
      <c r="AS42" s="6">
        <v>44667</v>
      </c>
      <c r="AT42" s="6">
        <v>51501</v>
      </c>
      <c r="AU42" t="s">
        <v>407</v>
      </c>
      <c r="AV42" s="9"/>
      <c r="AX42">
        <v>12</v>
      </c>
      <c r="AY42" s="4">
        <f t="shared" si="2"/>
        <v>0.47299999999999998</v>
      </c>
      <c r="AZ42">
        <v>473</v>
      </c>
      <c r="BA42" s="4">
        <v>5.6760000000000002</v>
      </c>
      <c r="BB42">
        <v>75</v>
      </c>
      <c r="BC42">
        <v>10.738</v>
      </c>
      <c r="BD42" s="5" t="s">
        <v>994</v>
      </c>
      <c r="BE42" t="s">
        <v>995</v>
      </c>
      <c r="BF42" s="6">
        <v>44667</v>
      </c>
      <c r="BG42" s="6">
        <v>51501</v>
      </c>
      <c r="BH42" t="s">
        <v>404</v>
      </c>
      <c r="BI42" s="9"/>
    </row>
    <row r="43" spans="2:61" x14ac:dyDescent="0.35">
      <c r="M43">
        <v>1</v>
      </c>
      <c r="N43" s="4">
        <v>0.34</v>
      </c>
      <c r="O43">
        <v>340</v>
      </c>
      <c r="P43">
        <v>75</v>
      </c>
      <c r="Q43">
        <v>0.74160000000000004</v>
      </c>
      <c r="R43" s="5" t="s">
        <v>945</v>
      </c>
      <c r="S43" t="s">
        <v>946</v>
      </c>
      <c r="T43" s="6">
        <v>44667</v>
      </c>
      <c r="U43" s="6">
        <v>51501</v>
      </c>
      <c r="V43" t="s">
        <v>407</v>
      </c>
      <c r="W43" s="9"/>
      <c r="AK43">
        <v>24</v>
      </c>
      <c r="AL43" s="4">
        <f t="shared" si="1"/>
        <v>0.35499999999999998</v>
      </c>
      <c r="AM43">
        <v>355</v>
      </c>
      <c r="AN43" s="4">
        <v>4.1479999999999997</v>
      </c>
      <c r="AO43">
        <v>75</v>
      </c>
      <c r="AP43">
        <v>7.8472999999999997</v>
      </c>
      <c r="AQ43" s="5" t="s">
        <v>967</v>
      </c>
      <c r="AR43" t="s">
        <v>968</v>
      </c>
      <c r="AS43" s="6">
        <v>44667</v>
      </c>
      <c r="AT43" s="6">
        <v>51501</v>
      </c>
      <c r="AU43" t="s">
        <v>407</v>
      </c>
      <c r="AV43" s="9"/>
      <c r="AX43">
        <v>48</v>
      </c>
      <c r="AY43" s="4">
        <f t="shared" si="2"/>
        <v>0.47299999999999998</v>
      </c>
      <c r="AZ43">
        <v>473</v>
      </c>
      <c r="BA43" s="4">
        <v>22.704000000000001</v>
      </c>
      <c r="BB43">
        <v>75</v>
      </c>
      <c r="BC43">
        <v>32.846899999999998</v>
      </c>
      <c r="BD43" s="5" t="s">
        <v>996</v>
      </c>
      <c r="BE43" t="s">
        <v>997</v>
      </c>
      <c r="BF43" s="6">
        <v>44667</v>
      </c>
      <c r="BG43" s="6">
        <v>51501</v>
      </c>
      <c r="BH43" t="s">
        <v>404</v>
      </c>
      <c r="BI43" s="9"/>
    </row>
    <row r="44" spans="2:61" x14ac:dyDescent="0.35">
      <c r="N44" s="4"/>
      <c r="R44" s="5"/>
      <c r="T44" s="6"/>
      <c r="U44" s="6"/>
      <c r="AK44">
        <v>12</v>
      </c>
      <c r="AL44" s="4">
        <f t="shared" si="1"/>
        <v>0.34100000000000003</v>
      </c>
      <c r="AM44">
        <v>341</v>
      </c>
      <c r="AN44" s="4">
        <v>4.12</v>
      </c>
      <c r="AO44">
        <v>75</v>
      </c>
      <c r="AP44">
        <v>7.7942999999999998</v>
      </c>
      <c r="AQ44" s="5" t="s">
        <v>969</v>
      </c>
      <c r="AR44" t="s">
        <v>970</v>
      </c>
      <c r="AS44" s="6">
        <v>44667</v>
      </c>
      <c r="AT44" s="6">
        <v>51501</v>
      </c>
      <c r="AU44" t="s">
        <v>407</v>
      </c>
      <c r="AV44" s="9"/>
      <c r="AX44">
        <v>4</v>
      </c>
      <c r="AY44" s="4">
        <f t="shared" si="2"/>
        <v>0.222</v>
      </c>
      <c r="AZ44">
        <v>222</v>
      </c>
      <c r="BA44" s="4">
        <v>0.88800000000000001</v>
      </c>
      <c r="BB44">
        <v>75</v>
      </c>
      <c r="BC44">
        <v>1.7391000000000001</v>
      </c>
      <c r="BD44" s="5" t="s">
        <v>998</v>
      </c>
      <c r="BE44" t="s">
        <v>999</v>
      </c>
      <c r="BF44" s="6">
        <v>44667</v>
      </c>
      <c r="BG44" s="6">
        <v>51501</v>
      </c>
      <c r="BH44" t="s">
        <v>404</v>
      </c>
      <c r="BI44" s="9"/>
    </row>
    <row r="45" spans="2:61" x14ac:dyDescent="0.35">
      <c r="N45" s="4"/>
      <c r="R45" s="5"/>
      <c r="T45" s="6"/>
      <c r="U45" s="6"/>
      <c r="AK45">
        <v>8</v>
      </c>
      <c r="AL45" s="4">
        <f t="shared" si="1"/>
        <v>0.5</v>
      </c>
      <c r="AM45">
        <v>500</v>
      </c>
      <c r="AN45" s="4">
        <v>4</v>
      </c>
      <c r="AO45">
        <v>75</v>
      </c>
      <c r="AP45">
        <v>7.5673000000000004</v>
      </c>
      <c r="AQ45" s="5" t="s">
        <v>971</v>
      </c>
      <c r="AR45" t="s">
        <v>972</v>
      </c>
      <c r="AS45" s="6">
        <v>44667</v>
      </c>
      <c r="AT45" s="6">
        <v>51501</v>
      </c>
      <c r="AU45" t="s">
        <v>407</v>
      </c>
      <c r="AV45" s="9"/>
      <c r="AX45">
        <v>24</v>
      </c>
      <c r="AY45" s="4">
        <f t="shared" si="2"/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s="5" t="s">
        <v>1000</v>
      </c>
      <c r="BE45" t="s">
        <v>1001</v>
      </c>
      <c r="BF45" s="6">
        <v>44667</v>
      </c>
      <c r="BG45" s="6">
        <v>51501</v>
      </c>
      <c r="BH45" t="s">
        <v>404</v>
      </c>
      <c r="BI45" s="9"/>
    </row>
    <row r="46" spans="2:61" x14ac:dyDescent="0.35">
      <c r="N46" s="4"/>
      <c r="R46" s="5"/>
      <c r="T46" s="6"/>
      <c r="U46" s="6"/>
      <c r="AL46"/>
      <c r="AN46"/>
      <c r="AX46">
        <v>24</v>
      </c>
      <c r="AY46" s="4">
        <f t="shared" si="2"/>
        <v>0.35499999999999998</v>
      </c>
      <c r="AZ46">
        <v>355</v>
      </c>
      <c r="BA46" s="4">
        <v>8.42</v>
      </c>
      <c r="BB46">
        <v>75</v>
      </c>
      <c r="BC46">
        <v>15.9291</v>
      </c>
      <c r="BD46" s="5" t="s">
        <v>1002</v>
      </c>
      <c r="BE46" t="s">
        <v>1003</v>
      </c>
      <c r="BF46" s="6">
        <v>44667</v>
      </c>
      <c r="BG46" s="6">
        <v>51501</v>
      </c>
      <c r="BH46" t="s">
        <v>404</v>
      </c>
      <c r="BI46" s="9"/>
    </row>
    <row r="47" spans="2:61" x14ac:dyDescent="0.35">
      <c r="N47" s="4"/>
      <c r="R47" s="5"/>
      <c r="T47" s="6"/>
      <c r="U47" s="6"/>
      <c r="AL47"/>
      <c r="AN47"/>
    </row>
    <row r="48" spans="2:61" x14ac:dyDescent="0.35">
      <c r="N48" s="4"/>
      <c r="R48" s="5"/>
      <c r="T48" s="6"/>
      <c r="U48" s="6"/>
      <c r="AL48"/>
      <c r="AN48"/>
    </row>
    <row r="49" spans="11:40" x14ac:dyDescent="0.35">
      <c r="K49"/>
      <c r="N49" s="4"/>
      <c r="R49" s="5"/>
      <c r="T49" s="6"/>
      <c r="U49" s="6"/>
      <c r="AL49"/>
      <c r="AN49"/>
    </row>
    <row r="50" spans="11:40" x14ac:dyDescent="0.35">
      <c r="K50"/>
      <c r="N50" s="4"/>
      <c r="R50" s="5"/>
      <c r="T50" s="6"/>
      <c r="U50" s="6"/>
      <c r="AL50"/>
      <c r="AN50"/>
    </row>
    <row r="51" spans="11:40" x14ac:dyDescent="0.35">
      <c r="K51"/>
      <c r="N51" s="4"/>
      <c r="R51" s="5"/>
      <c r="T51" s="6"/>
      <c r="U51" s="6"/>
      <c r="AL51"/>
      <c r="AN51"/>
    </row>
    <row r="52" spans="11:40" x14ac:dyDescent="0.35">
      <c r="K52"/>
      <c r="N52" s="4"/>
      <c r="R52" s="5"/>
      <c r="T52" s="6"/>
      <c r="U52" s="6"/>
      <c r="AL52"/>
      <c r="AN52"/>
    </row>
    <row r="53" spans="11:40" x14ac:dyDescent="0.35">
      <c r="K53"/>
      <c r="N53" s="4"/>
      <c r="R53" s="5"/>
      <c r="T53" s="6"/>
      <c r="U53" s="6"/>
      <c r="AL53"/>
      <c r="AN53"/>
    </row>
    <row r="54" spans="11:40" x14ac:dyDescent="0.35">
      <c r="K54"/>
      <c r="N54" s="4"/>
      <c r="R54" s="5"/>
      <c r="T54" s="6"/>
      <c r="U54" s="6"/>
      <c r="AL54"/>
      <c r="AN54"/>
    </row>
    <row r="55" spans="11:40" x14ac:dyDescent="0.35">
      <c r="K55"/>
      <c r="N55" s="4"/>
      <c r="R55" s="5"/>
      <c r="T55" s="6"/>
      <c r="U55" s="6"/>
      <c r="AL55"/>
      <c r="AN55"/>
    </row>
    <row r="56" spans="11:40" x14ac:dyDescent="0.35">
      <c r="K56"/>
      <c r="N56" s="4"/>
      <c r="R56" s="5"/>
      <c r="T56" s="6"/>
      <c r="U56" s="6"/>
      <c r="AL56"/>
      <c r="AN56"/>
    </row>
    <row r="57" spans="11:40" x14ac:dyDescent="0.35">
      <c r="K57"/>
      <c r="N57" s="4"/>
      <c r="R57" s="5"/>
      <c r="T57" s="6"/>
      <c r="U57" s="6"/>
      <c r="AL57"/>
      <c r="AN57"/>
    </row>
    <row r="58" spans="11:40" x14ac:dyDescent="0.35">
      <c r="K58"/>
      <c r="N58" s="4"/>
      <c r="R58" s="5"/>
      <c r="T58" s="6"/>
      <c r="U58" s="6"/>
      <c r="AL58"/>
      <c r="AN58"/>
    </row>
    <row r="59" spans="11:40" x14ac:dyDescent="0.35">
      <c r="K59"/>
      <c r="N59" s="4"/>
      <c r="R59" s="5"/>
      <c r="T59" s="6"/>
      <c r="U59" s="6"/>
      <c r="AL59"/>
      <c r="AN59"/>
    </row>
    <row r="60" spans="11:40" x14ac:dyDescent="0.35">
      <c r="K60"/>
      <c r="N60" s="4"/>
      <c r="R60" s="5"/>
      <c r="T60" s="6"/>
      <c r="U60" s="6"/>
      <c r="AL60"/>
      <c r="AN60"/>
    </row>
    <row r="61" spans="11:40" x14ac:dyDescent="0.35">
      <c r="K61"/>
      <c r="N61" s="4"/>
      <c r="R61" s="5"/>
      <c r="T61" s="6"/>
      <c r="U61" s="6"/>
      <c r="AL61"/>
      <c r="AN61"/>
    </row>
    <row r="62" spans="11:40" x14ac:dyDescent="0.35">
      <c r="K62"/>
      <c r="N62" s="4"/>
      <c r="R62" s="5"/>
      <c r="T62" s="6"/>
      <c r="U62" s="6"/>
    </row>
    <row r="63" spans="11:40" x14ac:dyDescent="0.35">
      <c r="K63"/>
      <c r="N63" s="4"/>
      <c r="R63" s="5"/>
      <c r="T63" s="6"/>
      <c r="U63" s="6"/>
    </row>
    <row r="64" spans="11:40" x14ac:dyDescent="0.35">
      <c r="K64"/>
      <c r="N64" s="4"/>
      <c r="R64" s="5"/>
      <c r="T64" s="6"/>
      <c r="U64" s="6"/>
    </row>
    <row r="65" spans="14:21" customFormat="1" x14ac:dyDescent="0.35">
      <c r="N65" s="4"/>
      <c r="R65" s="5"/>
      <c r="T65" s="6"/>
      <c r="U65" s="6"/>
    </row>
    <row r="66" spans="14:21" customFormat="1" x14ac:dyDescent="0.35">
      <c r="N66" s="4"/>
      <c r="R66" s="5"/>
      <c r="T66" s="6"/>
      <c r="U66" s="6"/>
    </row>
    <row r="67" spans="14:21" customFormat="1" x14ac:dyDescent="0.35">
      <c r="N67" s="4"/>
      <c r="R67" s="5"/>
      <c r="T67" s="6"/>
      <c r="U67" s="6"/>
    </row>
    <row r="68" spans="14:21" customFormat="1" x14ac:dyDescent="0.35">
      <c r="N68" s="4"/>
      <c r="R68" s="5"/>
      <c r="T68" s="6"/>
      <c r="U68" s="6"/>
    </row>
    <row r="69" spans="14:21" customFormat="1" x14ac:dyDescent="0.35">
      <c r="N69" s="4"/>
      <c r="R69" s="5"/>
      <c r="T69" s="6"/>
      <c r="U69" s="6"/>
    </row>
    <row r="70" spans="14:21" customFormat="1" x14ac:dyDescent="0.35">
      <c r="N70" s="4"/>
      <c r="R70" s="5"/>
      <c r="T70" s="6"/>
      <c r="U70" s="6"/>
    </row>
    <row r="71" spans="14:21" customFormat="1" x14ac:dyDescent="0.35">
      <c r="N71" s="4"/>
      <c r="R71" s="5"/>
      <c r="T71" s="6"/>
      <c r="U71" s="6"/>
    </row>
  </sheetData>
  <conditionalFormatting sqref="AB15:AB29">
    <cfRule type="duplicateValues" dxfId="5" priority="6"/>
  </conditionalFormatting>
  <conditionalFormatting sqref="B3:B21">
    <cfRule type="duplicateValues" dxfId="4" priority="5"/>
  </conditionalFormatting>
  <conditionalFormatting sqref="N3:N43">
    <cfRule type="duplicateValues" dxfId="3" priority="4"/>
  </conditionalFormatting>
  <conditionalFormatting sqref="AN3:AN45">
    <cfRule type="duplicateValues" dxfId="2" priority="3"/>
  </conditionalFormatting>
  <conditionalFormatting sqref="BA3:BA46">
    <cfRule type="duplicateValues" dxfId="1" priority="2"/>
  </conditionalFormatting>
  <conditionalFormatting sqref="B22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sqref="A1:E1"/>
    </sheetView>
  </sheetViews>
  <sheetFormatPr defaultRowHeight="14.5" x14ac:dyDescent="0.35"/>
  <sheetData>
    <row r="1" spans="1:5" ht="15" thickBot="1" x14ac:dyDescent="0.4">
      <c r="A1" s="197" t="s">
        <v>662</v>
      </c>
      <c r="B1" s="198"/>
      <c r="C1" s="198"/>
      <c r="D1" s="198"/>
      <c r="E1" s="199"/>
    </row>
    <row r="2" spans="1:5" ht="15" thickBot="1" x14ac:dyDescent="0.4">
      <c r="A2" s="14"/>
      <c r="B2" s="15"/>
      <c r="C2" s="15"/>
      <c r="D2" s="15"/>
      <c r="E2" s="15"/>
    </row>
    <row r="3" spans="1:5" ht="58.5" thickBot="1" x14ac:dyDescent="0.4">
      <c r="A3" s="14"/>
      <c r="B3" s="16" t="s">
        <v>663</v>
      </c>
      <c r="C3" s="17" t="s">
        <v>664</v>
      </c>
      <c r="D3" s="17" t="s">
        <v>665</v>
      </c>
      <c r="E3" s="18" t="s">
        <v>666</v>
      </c>
    </row>
    <row r="4" spans="1:5" x14ac:dyDescent="0.35">
      <c r="A4" s="200" t="s">
        <v>667</v>
      </c>
      <c r="B4" s="19" t="s">
        <v>668</v>
      </c>
      <c r="C4" s="20"/>
      <c r="D4" s="20">
        <v>99</v>
      </c>
      <c r="E4" s="95">
        <v>116.26</v>
      </c>
    </row>
    <row r="5" spans="1:5" x14ac:dyDescent="0.35">
      <c r="A5" s="201"/>
      <c r="B5" s="21" t="s">
        <v>669</v>
      </c>
      <c r="C5" s="22">
        <v>100</v>
      </c>
      <c r="D5" s="22">
        <v>299</v>
      </c>
      <c r="E5" s="93">
        <v>95.12</v>
      </c>
    </row>
    <row r="6" spans="1:5" x14ac:dyDescent="0.35">
      <c r="A6" s="201"/>
      <c r="B6" s="21" t="s">
        <v>670</v>
      </c>
      <c r="C6" s="22">
        <v>300</v>
      </c>
      <c r="D6" s="22">
        <v>399</v>
      </c>
      <c r="E6" s="93">
        <v>79.27</v>
      </c>
    </row>
    <row r="7" spans="1:5" x14ac:dyDescent="0.35">
      <c r="A7" s="201"/>
      <c r="B7" s="21" t="s">
        <v>873</v>
      </c>
      <c r="C7" s="22">
        <v>400</v>
      </c>
      <c r="D7" s="22">
        <v>699</v>
      </c>
      <c r="E7" s="93">
        <v>73.98</v>
      </c>
    </row>
    <row r="8" spans="1:5" ht="15" thickBot="1" x14ac:dyDescent="0.4">
      <c r="A8" s="202"/>
      <c r="B8" s="21" t="s">
        <v>671</v>
      </c>
      <c r="C8" s="22">
        <v>700</v>
      </c>
      <c r="D8" s="22"/>
      <c r="E8" s="93">
        <v>69.81</v>
      </c>
    </row>
    <row r="9" spans="1:5" x14ac:dyDescent="0.35">
      <c r="A9" s="200" t="s">
        <v>672</v>
      </c>
      <c r="B9" s="19" t="s">
        <v>673</v>
      </c>
      <c r="C9" s="20"/>
      <c r="D9" s="23">
        <v>9999</v>
      </c>
      <c r="E9" s="95">
        <v>69.81</v>
      </c>
    </row>
    <row r="10" spans="1:5" x14ac:dyDescent="0.35">
      <c r="A10" s="201"/>
      <c r="B10" s="21" t="s">
        <v>874</v>
      </c>
      <c r="C10" s="24">
        <v>10000</v>
      </c>
      <c r="D10" s="24">
        <v>19999</v>
      </c>
      <c r="E10" s="93">
        <v>63.41</v>
      </c>
    </row>
    <row r="11" spans="1:5" ht="15" thickBot="1" x14ac:dyDescent="0.4">
      <c r="A11" s="202"/>
      <c r="B11" s="25" t="s">
        <v>674</v>
      </c>
      <c r="C11" s="26">
        <v>20000</v>
      </c>
      <c r="D11" s="27"/>
      <c r="E11" s="94">
        <v>58.13</v>
      </c>
    </row>
    <row r="12" spans="1:5" x14ac:dyDescent="0.35">
      <c r="A12" s="194" t="s">
        <v>675</v>
      </c>
      <c r="B12" s="19" t="s">
        <v>668</v>
      </c>
      <c r="C12" s="20"/>
      <c r="D12" s="20">
        <v>99</v>
      </c>
      <c r="E12" s="95">
        <v>422.75</v>
      </c>
    </row>
    <row r="13" spans="1:5" x14ac:dyDescent="0.35">
      <c r="A13" s="195"/>
      <c r="B13" s="21" t="s">
        <v>676</v>
      </c>
      <c r="C13" s="22">
        <v>100</v>
      </c>
      <c r="D13" s="22">
        <v>249</v>
      </c>
      <c r="E13" s="93">
        <v>95.12</v>
      </c>
    </row>
    <row r="14" spans="1:5" x14ac:dyDescent="0.35">
      <c r="A14" s="195"/>
      <c r="B14" s="21" t="s">
        <v>677</v>
      </c>
      <c r="C14" s="22">
        <v>250</v>
      </c>
      <c r="D14" s="22">
        <v>399</v>
      </c>
      <c r="E14" s="93">
        <v>79.27</v>
      </c>
    </row>
    <row r="15" spans="1:5" x14ac:dyDescent="0.35">
      <c r="A15" s="195"/>
      <c r="B15" s="21" t="s">
        <v>873</v>
      </c>
      <c r="C15" s="22">
        <v>400</v>
      </c>
      <c r="D15" s="22">
        <v>699</v>
      </c>
      <c r="E15" s="93">
        <v>73.98</v>
      </c>
    </row>
    <row r="16" spans="1:5" ht="15" thickBot="1" x14ac:dyDescent="0.4">
      <c r="A16" s="196"/>
      <c r="B16" s="25" t="s">
        <v>671</v>
      </c>
      <c r="C16" s="27">
        <v>700</v>
      </c>
      <c r="D16" s="27"/>
      <c r="E16" s="94">
        <v>69.81</v>
      </c>
    </row>
    <row r="17" spans="1:5" x14ac:dyDescent="0.35">
      <c r="A17" s="200" t="s">
        <v>678</v>
      </c>
      <c r="B17" s="19" t="s">
        <v>668</v>
      </c>
      <c r="C17" s="20"/>
      <c r="D17" s="20">
        <v>99</v>
      </c>
      <c r="E17" s="95">
        <v>137.38999999999999</v>
      </c>
    </row>
    <row r="18" spans="1:5" x14ac:dyDescent="0.35">
      <c r="A18" s="201"/>
      <c r="B18" s="21" t="s">
        <v>875</v>
      </c>
      <c r="C18" s="22">
        <v>100</v>
      </c>
      <c r="D18" s="22">
        <v>374</v>
      </c>
      <c r="E18" s="93">
        <v>100.4</v>
      </c>
    </row>
    <row r="19" spans="1:5" x14ac:dyDescent="0.35">
      <c r="A19" s="201"/>
      <c r="B19" s="21" t="s">
        <v>876</v>
      </c>
      <c r="C19" s="22">
        <v>375</v>
      </c>
      <c r="D19" s="22">
        <v>699</v>
      </c>
      <c r="E19" s="93">
        <v>73.98</v>
      </c>
    </row>
    <row r="20" spans="1:5" x14ac:dyDescent="0.35">
      <c r="A20" s="201"/>
      <c r="B20" s="21" t="s">
        <v>877</v>
      </c>
      <c r="C20" s="22">
        <v>700</v>
      </c>
      <c r="D20" s="24">
        <v>3999</v>
      </c>
      <c r="E20" s="93">
        <v>69.81</v>
      </c>
    </row>
    <row r="21" spans="1:5" ht="15" thickBot="1" x14ac:dyDescent="0.4">
      <c r="A21" s="202"/>
      <c r="B21" s="25" t="s">
        <v>679</v>
      </c>
      <c r="C21" s="26">
        <v>4000</v>
      </c>
      <c r="D21" s="27"/>
      <c r="E21" s="94">
        <v>58.13</v>
      </c>
    </row>
    <row r="22" spans="1:5" x14ac:dyDescent="0.35">
      <c r="A22" s="194" t="s">
        <v>680</v>
      </c>
      <c r="B22" s="19" t="s">
        <v>668</v>
      </c>
      <c r="C22" s="20"/>
      <c r="D22" s="20">
        <v>99</v>
      </c>
      <c r="E22" s="95">
        <v>211.38</v>
      </c>
    </row>
    <row r="23" spans="1:5" x14ac:dyDescent="0.35">
      <c r="A23" s="195"/>
      <c r="B23" s="21" t="s">
        <v>875</v>
      </c>
      <c r="C23" s="22">
        <v>100</v>
      </c>
      <c r="D23" s="22">
        <v>374</v>
      </c>
      <c r="E23" s="93">
        <v>100.4</v>
      </c>
    </row>
    <row r="24" spans="1:5" x14ac:dyDescent="0.35">
      <c r="A24" s="195"/>
      <c r="B24" s="21" t="s">
        <v>876</v>
      </c>
      <c r="C24" s="22">
        <v>375</v>
      </c>
      <c r="D24" s="22">
        <v>699</v>
      </c>
      <c r="E24" s="93">
        <v>73.98</v>
      </c>
    </row>
    <row r="25" spans="1:5" ht="15" thickBot="1" x14ac:dyDescent="0.4">
      <c r="A25" s="196"/>
      <c r="B25" s="25" t="s">
        <v>671</v>
      </c>
      <c r="C25" s="27">
        <v>700</v>
      </c>
      <c r="D25" s="27"/>
      <c r="E25" s="94">
        <v>69.81</v>
      </c>
    </row>
    <row r="26" spans="1:5" x14ac:dyDescent="0.35">
      <c r="A26" t="s">
        <v>681</v>
      </c>
      <c r="D26" s="28">
        <v>99</v>
      </c>
    </row>
    <row r="27" spans="1:5" x14ac:dyDescent="0.35">
      <c r="C27" s="29">
        <v>100</v>
      </c>
      <c r="D27" s="28">
        <v>374</v>
      </c>
    </row>
    <row r="28" spans="1:5" x14ac:dyDescent="0.35">
      <c r="C28" s="29">
        <v>375</v>
      </c>
      <c r="D28" s="28">
        <v>699</v>
      </c>
    </row>
    <row r="29" spans="1:5" x14ac:dyDescent="0.35">
      <c r="C29" s="29">
        <v>700</v>
      </c>
      <c r="D29" s="28">
        <v>3999</v>
      </c>
    </row>
    <row r="30" spans="1:5" x14ac:dyDescent="0.35">
      <c r="C30" s="29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1F1B4-C60A-47D6-AE4E-FFD0CE088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75C51-9891-4F15-A920-158A6ECE9227}">
  <ds:schemaRefs>
    <ds:schemaRef ds:uri="http://www.w3.org/XML/1998/namespace"/>
    <ds:schemaRef ds:uri="http://purl.org/dc/terms/"/>
    <ds:schemaRef ds:uri="http://purl.org/dc/elements/1.1/"/>
    <ds:schemaRef ds:uri="3ed7015c-3088-4573-a2b5-1c16df166ee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7bfb68b-a3bb-4a28-a4e0-f34ef2d57dd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  <vt:lpstr>'Trial Pricing Calculator '!Print_Area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2023-03-24T16:01:08Z</cp:lastPrinted>
  <dcterms:created xsi:type="dcterms:W3CDTF">2017-01-25T15:18:40Z</dcterms:created>
  <dcterms:modified xsi:type="dcterms:W3CDTF">2023-09-15T17:20:28Z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