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s/Calculators/"/>
    </mc:Choice>
  </mc:AlternateContent>
  <xr:revisionPtr revIDLastSave="450" documentId="8_{70500032-F6ED-4E92-8DC4-EF58F341CAFB}" xr6:coauthVersionLast="47" xr6:coauthVersionMax="47" xr10:uidLastSave="{004E0A91-2EB8-4356-9E08-92222CE0DA8B}"/>
  <workbookProtection workbookAlgorithmName="SHA-512" workbookHashValue="aCwIya3+qNn7/0/UUC4j9kxzDaarTfQwDYEDvXFLVcueE80WHEOz0rMDsUajvexCDlYjrge83IJgfT+tiknuFw==" workbookSaltValue="qjdfBYM91FvWjglkaDB0fw==" workbookSpinCount="100000" lockStructure="1"/>
  <bookViews>
    <workbookView xWindow="28690" yWindow="-110" windowWidth="29020" windowHeight="1582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heet1" sheetId="8" state="hidden" r:id="rId7"/>
    <sheet name="MIN MKUP 05-01" sheetId="9" state="hidden" r:id="rId8"/>
    <sheet name="SRP" sheetId="6" state="hidden" r:id="rId9"/>
  </sheets>
  <definedNames>
    <definedName name="_xlnm._FilterDatabase" localSheetId="6" hidden="1">Sheet1!$E$1:$E$425</definedName>
    <definedName name="Micro">'Trial Pricing Calculator '!$U$6:$U$6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  <c r="A19" i="1"/>
  <c r="D19" i="1"/>
  <c r="C4" i="1"/>
  <c r="A4" i="1" l="1"/>
  <c r="G37" i="7"/>
  <c r="C38" i="7"/>
  <c r="G38" i="7" s="1"/>
  <c r="J21" i="7"/>
  <c r="J19" i="7"/>
  <c r="J17" i="7"/>
  <c r="J16" i="7"/>
  <c r="J15" i="7"/>
  <c r="B4" i="1" s="1"/>
  <c r="J14" i="7"/>
  <c r="J13" i="7"/>
  <c r="B16" i="1" l="1"/>
  <c r="A16" i="1"/>
  <c r="D16" i="1"/>
  <c r="C16" i="1"/>
  <c r="D7" i="1"/>
  <c r="B7" i="1"/>
  <c r="C7" i="1"/>
  <c r="A7" i="1"/>
  <c r="C19" i="7"/>
  <c r="C18" i="7"/>
  <c r="A13" i="1"/>
  <c r="C11" i="7"/>
  <c r="K13" i="1" l="1"/>
  <c r="B13" i="1"/>
  <c r="J18" i="1"/>
  <c r="I18" i="1"/>
  <c r="C13" i="1"/>
  <c r="K18" i="1"/>
  <c r="K25" i="1"/>
  <c r="I13" i="1"/>
  <c r="H13" i="1"/>
  <c r="G13" i="1"/>
  <c r="J13" i="1"/>
  <c r="D13" i="1"/>
  <c r="BA47" i="5"/>
  <c r="B77" i="3" l="1"/>
  <c r="B51" i="3"/>
  <c r="B76" i="3"/>
  <c r="B50" i="3"/>
  <c r="B49" i="3"/>
  <c r="B48" i="3"/>
  <c r="B47" i="3"/>
  <c r="B46" i="3"/>
  <c r="B45" i="3"/>
  <c r="B44" i="3"/>
  <c r="D77" i="2" l="1"/>
  <c r="D76" i="2"/>
  <c r="D75" i="2"/>
  <c r="BA40" i="5"/>
  <c r="BA44" i="5"/>
  <c r="BA43" i="5"/>
  <c r="BA42" i="5"/>
  <c r="BA41" i="5"/>
  <c r="BA35" i="5"/>
  <c r="BA34" i="5"/>
  <c r="BA33" i="5"/>
  <c r="BA32" i="5"/>
  <c r="BA31" i="5"/>
  <c r="AN45" i="5"/>
  <c r="AL43" i="5"/>
  <c r="AL42" i="5"/>
  <c r="AL41" i="5"/>
  <c r="AL40" i="5"/>
  <c r="AN38" i="5"/>
  <c r="AN34" i="5"/>
  <c r="N41" i="5" l="1"/>
  <c r="N40" i="5"/>
  <c r="N39" i="5"/>
  <c r="N38" i="5"/>
  <c r="N37" i="5"/>
  <c r="N36" i="5"/>
  <c r="N35" i="5"/>
  <c r="N34" i="5"/>
  <c r="AL33" i="5"/>
  <c r="AN33" i="5"/>
  <c r="N33" i="5"/>
  <c r="AL32" i="5"/>
  <c r="AN32" i="5"/>
  <c r="N32" i="5"/>
  <c r="AL31" i="5"/>
  <c r="AN31" i="5" s="1"/>
  <c r="N31" i="5"/>
  <c r="BA30" i="5"/>
  <c r="AL30" i="5"/>
  <c r="AN30" i="5" s="1"/>
  <c r="N30" i="5"/>
  <c r="BA29" i="5"/>
  <c r="AL29" i="5"/>
  <c r="AN29" i="5" s="1"/>
  <c r="N29" i="5"/>
  <c r="BA28" i="5"/>
  <c r="AL28" i="5"/>
  <c r="AN28" i="5" s="1"/>
  <c r="N28" i="5"/>
  <c r="BA27" i="5"/>
  <c r="AL27" i="5"/>
  <c r="AN27" i="5" s="1"/>
  <c r="N27" i="5"/>
  <c r="BA26" i="5"/>
  <c r="AL26" i="5"/>
  <c r="AN26" i="5" s="1"/>
  <c r="N26" i="5"/>
  <c r="BA25" i="5"/>
  <c r="AL25" i="5"/>
  <c r="AN25" i="5" s="1"/>
  <c r="N25" i="5"/>
  <c r="BA24" i="5"/>
  <c r="AL24" i="5"/>
  <c r="AN24" i="5" s="1"/>
  <c r="N24" i="5"/>
  <c r="BA23" i="5"/>
  <c r="AL23" i="5"/>
  <c r="AN23" i="5" s="1"/>
  <c r="N23" i="5"/>
  <c r="BA22" i="5"/>
  <c r="AL22" i="5"/>
  <c r="AN22" i="5" s="1"/>
  <c r="N22" i="5"/>
  <c r="BA21" i="5"/>
  <c r="AL21" i="5"/>
  <c r="AN21" i="5" s="1"/>
  <c r="N21" i="5"/>
  <c r="B21" i="5"/>
  <c r="BA20" i="5"/>
  <c r="AL20" i="5"/>
  <c r="N20" i="5"/>
  <c r="B20" i="5"/>
  <c r="AL19" i="5"/>
  <c r="AN19" i="5"/>
  <c r="N19" i="5"/>
  <c r="B19" i="5"/>
  <c r="BA18" i="5"/>
  <c r="AL18" i="5"/>
  <c r="AN18" i="5"/>
  <c r="N18" i="5"/>
  <c r="B18" i="5"/>
  <c r="BA17" i="5"/>
  <c r="AL17" i="5"/>
  <c r="AN17" i="5" s="1"/>
  <c r="N17" i="5"/>
  <c r="B17" i="5"/>
  <c r="BA16" i="5"/>
  <c r="AL16" i="5"/>
  <c r="AN16" i="5" s="1"/>
  <c r="N16" i="5"/>
  <c r="B16" i="5"/>
  <c r="BA15" i="5"/>
  <c r="AL15" i="5"/>
  <c r="AN15" i="5"/>
  <c r="N15" i="5"/>
  <c r="B15" i="5"/>
  <c r="BA14" i="5"/>
  <c r="AL14" i="5"/>
  <c r="AN14" i="5"/>
  <c r="N14" i="5"/>
  <c r="B14" i="5"/>
  <c r="BA13" i="5"/>
  <c r="AL13" i="5"/>
  <c r="Z13" i="5"/>
  <c r="N13" i="5"/>
  <c r="B13" i="5"/>
  <c r="BA12" i="5"/>
  <c r="AL12" i="5"/>
  <c r="Z12" i="5"/>
  <c r="N12" i="5"/>
  <c r="B12" i="5"/>
  <c r="BA11" i="5"/>
  <c r="AL11" i="5"/>
  <c r="AN11" i="5" s="1"/>
  <c r="Z11" i="5"/>
  <c r="N11" i="5"/>
  <c r="B11" i="5"/>
  <c r="BA10" i="5"/>
  <c r="AL10" i="5"/>
  <c r="AN10" i="5"/>
  <c r="Z10" i="5"/>
  <c r="N10" i="5"/>
  <c r="B10" i="5"/>
  <c r="BA9" i="5"/>
  <c r="AL9" i="5"/>
  <c r="AN9" i="5" s="1"/>
  <c r="Z9" i="5"/>
  <c r="N9" i="5"/>
  <c r="B9" i="5"/>
  <c r="BA8" i="5"/>
  <c r="AL8" i="5"/>
  <c r="AN8" i="5"/>
  <c r="Z8" i="5"/>
  <c r="N8" i="5"/>
  <c r="B8" i="5"/>
  <c r="AL7" i="5"/>
  <c r="AN7" i="5" s="1"/>
  <c r="Z7" i="5"/>
  <c r="N7" i="5"/>
  <c r="B7" i="5"/>
  <c r="BA6" i="5"/>
  <c r="AL6" i="5"/>
  <c r="Z6" i="5"/>
  <c r="N6" i="5"/>
  <c r="B6" i="5"/>
  <c r="BA5" i="5"/>
  <c r="AL5" i="5"/>
  <c r="AN5" i="5" s="1"/>
  <c r="Z5" i="5"/>
  <c r="N5" i="5"/>
  <c r="B5" i="5"/>
  <c r="BA4" i="5"/>
  <c r="AL4" i="5"/>
  <c r="AN4" i="5"/>
  <c r="Z4" i="5"/>
  <c r="N4" i="5"/>
  <c r="B4" i="5"/>
  <c r="BA3" i="5"/>
  <c r="AL3" i="5"/>
  <c r="AN3" i="5" s="1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M28" i="4"/>
  <c r="O28" i="4"/>
  <c r="B28" i="4"/>
  <c r="M27" i="4"/>
  <c r="O27" i="4"/>
  <c r="B27" i="4"/>
  <c r="M26" i="4"/>
  <c r="O26" i="4"/>
  <c r="B26" i="4"/>
  <c r="M25" i="4"/>
  <c r="O25" i="4"/>
  <c r="B25" i="4"/>
  <c r="M24" i="4"/>
  <c r="O24" i="4"/>
  <c r="B24" i="4"/>
  <c r="M23" i="4"/>
  <c r="O23" i="4"/>
  <c r="B23" i="4"/>
  <c r="M22" i="4"/>
  <c r="O22" i="4"/>
  <c r="B22" i="4"/>
  <c r="M21" i="4"/>
  <c r="O21" i="4"/>
  <c r="B21" i="4"/>
  <c r="M20" i="4"/>
  <c r="O20" i="4"/>
  <c r="B20" i="4"/>
  <c r="M19" i="4"/>
  <c r="O19" i="4"/>
  <c r="B19" i="4"/>
  <c r="M18" i="4"/>
  <c r="O18" i="4"/>
  <c r="B18" i="4"/>
  <c r="M17" i="4"/>
  <c r="O17" i="4"/>
  <c r="B17" i="4"/>
  <c r="M16" i="4"/>
  <c r="O16" i="4"/>
  <c r="B16" i="4"/>
  <c r="M15" i="4"/>
  <c r="O15" i="4"/>
  <c r="B15" i="4"/>
  <c r="M14" i="4"/>
  <c r="O14" i="4"/>
  <c r="B14" i="4"/>
  <c r="M13" i="4"/>
  <c r="O13" i="4"/>
  <c r="B13" i="4"/>
  <c r="M12" i="4"/>
  <c r="O12" i="4"/>
  <c r="B12" i="4"/>
  <c r="M11" i="4"/>
  <c r="O11" i="4"/>
  <c r="B11" i="4"/>
  <c r="M10" i="4"/>
  <c r="O10" i="4"/>
  <c r="B10" i="4"/>
  <c r="M9" i="4"/>
  <c r="O9" i="4"/>
  <c r="B9" i="4"/>
  <c r="M8" i="4"/>
  <c r="O8" i="4"/>
  <c r="B8" i="4"/>
  <c r="M7" i="4"/>
  <c r="O7" i="4"/>
  <c r="B7" i="4"/>
  <c r="M6" i="4"/>
  <c r="O6" i="4"/>
  <c r="B6" i="4"/>
  <c r="M5" i="4"/>
  <c r="O5" i="4"/>
  <c r="B5" i="4"/>
  <c r="M4" i="4"/>
  <c r="O4" i="4"/>
  <c r="B4" i="4"/>
  <c r="M3" i="4"/>
  <c r="O3" i="4"/>
  <c r="B3" i="4"/>
  <c r="M2" i="4"/>
  <c r="O2" i="4"/>
  <c r="B2" i="4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74" i="2"/>
  <c r="D74" i="2" s="1"/>
  <c r="B73" i="2"/>
  <c r="D73" i="2"/>
  <c r="B72" i="2"/>
  <c r="D72" i="2" s="1"/>
  <c r="B71" i="2"/>
  <c r="D71" i="2"/>
  <c r="B70" i="2"/>
  <c r="D70" i="2" s="1"/>
  <c r="B69" i="2"/>
  <c r="D69" i="2"/>
  <c r="B68" i="2"/>
  <c r="D68" i="2" s="1"/>
  <c r="B67" i="2"/>
  <c r="D67" i="2"/>
  <c r="B66" i="2"/>
  <c r="D66" i="2" s="1"/>
  <c r="B65" i="2"/>
  <c r="D65" i="2"/>
  <c r="B64" i="2"/>
  <c r="D64" i="2" s="1"/>
  <c r="B63" i="2"/>
  <c r="D63" i="2"/>
  <c r="B62" i="2"/>
  <c r="D62" i="2" s="1"/>
  <c r="B61" i="2"/>
  <c r="D61" i="2"/>
  <c r="B60" i="2"/>
  <c r="D60" i="2" s="1"/>
  <c r="B59" i="2"/>
  <c r="D59" i="2"/>
  <c r="B58" i="2"/>
  <c r="D58" i="2" s="1"/>
  <c r="B57" i="2"/>
  <c r="D57" i="2"/>
  <c r="B56" i="2"/>
  <c r="D56" i="2" s="1"/>
  <c r="B55" i="2"/>
  <c r="D55" i="2"/>
  <c r="B54" i="2"/>
  <c r="D54" i="2" s="1"/>
  <c r="B53" i="2"/>
  <c r="D53" i="2"/>
  <c r="B52" i="2"/>
  <c r="D52" i="2" s="1"/>
  <c r="B51" i="2"/>
  <c r="D51" i="2"/>
  <c r="B50" i="2"/>
  <c r="D50" i="2" s="1"/>
  <c r="B49" i="2"/>
  <c r="D49" i="2"/>
  <c r="B48" i="2"/>
  <c r="D48" i="2" s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G32" i="7"/>
  <c r="G31" i="7" l="1"/>
  <c r="G36" i="7"/>
  <c r="J18" i="7"/>
  <c r="G30" i="7"/>
  <c r="K22" i="1"/>
  <c r="G29" i="7"/>
  <c r="H22" i="1" l="1"/>
  <c r="J22" i="1"/>
  <c r="I22" i="1"/>
  <c r="G22" i="1"/>
  <c r="I10" i="1"/>
  <c r="G10" i="1"/>
  <c r="H10" i="1"/>
  <c r="I16" i="1"/>
  <c r="G35" i="7"/>
  <c r="J30" i="7"/>
  <c r="G42" i="7" l="1"/>
  <c r="I5" i="1"/>
  <c r="C10" i="1" s="1"/>
  <c r="K16" i="1"/>
  <c r="J16" i="1"/>
  <c r="K10" i="1"/>
  <c r="J10" i="1"/>
  <c r="H5" i="1"/>
  <c r="B10" i="1" s="1"/>
  <c r="K5" i="1" l="1"/>
  <c r="J5" i="1" l="1"/>
  <c r="D10" i="1" s="1"/>
  <c r="G5" i="1" l="1"/>
  <c r="A10" i="1" s="1"/>
  <c r="G34" i="7" s="1"/>
  <c r="J37" i="7" s="1"/>
  <c r="G41" i="7" s="1"/>
</calcChain>
</file>

<file path=xl/sharedStrings.xml><?xml version="1.0" encoding="utf-8"?>
<sst xmlns="http://schemas.openxmlformats.org/spreadsheetml/2006/main" count="2607" uniqueCount="1091">
  <si>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</si>
  <si>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</si>
  <si>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</si>
  <si>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</si>
  <si>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</si>
  <si>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</si>
  <si>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</si>
  <si>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</si>
  <si>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</si>
  <si>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</si>
  <si>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</si>
  <si>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</si>
  <si>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</si>
  <si>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</si>
  <si>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</si>
  <si>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</si>
  <si>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</si>
  <si>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</si>
  <si>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</si>
  <si>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</si>
  <si>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</si>
  <si>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</si>
  <si>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</si>
  <si>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</si>
  <si>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</si>
  <si>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</si>
  <si>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</si>
  <si>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</si>
  <si>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</si>
  <si>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</si>
  <si>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</si>
  <si>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</si>
  <si>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</si>
  <si>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</si>
  <si>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</si>
  <si>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</si>
  <si>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</si>
  <si>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</si>
  <si>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</si>
  <si>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</si>
  <si>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</si>
  <si>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</si>
  <si>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</si>
  <si>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</si>
  <si>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</si>
  <si>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</si>
  <si>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</si>
  <si>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</si>
  <si>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</si>
  <si>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</si>
  <si>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</si>
  <si>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</si>
  <si>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</si>
  <si>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</si>
  <si>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</si>
  <si>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</si>
  <si>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</si>
  <si>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</si>
  <si>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</si>
  <si>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</si>
  <si>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</si>
  <si>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</si>
  <si>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</si>
  <si>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</si>
  <si>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</si>
  <si>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</si>
  <si>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</si>
  <si>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</si>
  <si>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</si>
  <si>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</si>
  <si>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</si>
  <si>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</si>
  <si>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</si>
  <si>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</si>
  <si>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</si>
  <si>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</si>
  <si>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</si>
  <si>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</si>
  <si>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</si>
  <si>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</si>
  <si>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</si>
  <si>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</si>
  <si>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</si>
  <si>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</si>
  <si>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</si>
  <si>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</si>
  <si>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</si>
  <si>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</si>
  <si>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</si>
  <si>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</si>
  <si>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</si>
  <si>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</si>
  <si>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</si>
  <si>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</si>
  <si>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</si>
  <si>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</si>
  <si>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</si>
  <si>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</si>
  <si>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</si>
  <si>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</si>
  <si>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</si>
  <si>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</si>
  <si>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</si>
  <si>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</si>
  <si>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</si>
  <si>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</si>
  <si>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</si>
  <si>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</si>
  <si>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</si>
  <si>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</si>
  <si>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</si>
  <si>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</si>
  <si>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</si>
  <si>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</si>
  <si>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</si>
  <si>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</si>
  <si>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</si>
  <si>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</si>
  <si>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</si>
  <si>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</si>
  <si>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</si>
  <si>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</si>
  <si>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</si>
  <si>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</si>
  <si>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</si>
  <si>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</si>
  <si>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</si>
  <si>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</si>
  <si>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MM1699</t>
  </si>
  <si>
    <t>Liqueur 10x20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</si>
  <si>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</si>
  <si>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</si>
  <si>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</si>
  <si>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</si>
  <si>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</si>
  <si>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</si>
  <si>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</si>
  <si>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</si>
  <si>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</si>
  <si>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</si>
  <si>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</si>
  <si>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</si>
  <si>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</si>
  <si>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</si>
  <si>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</si>
  <si>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</si>
  <si>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</si>
  <si>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</si>
  <si>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</si>
  <si>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</si>
  <si>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</si>
  <si>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</si>
  <si>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</si>
  <si>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</si>
  <si>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</si>
  <si>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</si>
  <si>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</si>
  <si>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</si>
  <si>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</si>
  <si>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</si>
  <si>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</si>
  <si>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</si>
  <si>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</si>
  <si>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</si>
  <si>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</si>
  <si>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</si>
  <si>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</si>
  <si>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</si>
  <si>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</si>
  <si>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</si>
  <si>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</si>
  <si>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</si>
  <si>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</si>
  <si>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</si>
  <si>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</si>
  <si>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</si>
  <si>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</si>
  <si>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</si>
  <si>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</si>
  <si>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</si>
  <si>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</si>
  <si>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</si>
  <si>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</si>
  <si>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</si>
  <si>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</si>
  <si>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</si>
  <si>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</si>
  <si>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</si>
  <si>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</si>
  <si>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</si>
  <si>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</si>
  <si>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</si>
  <si>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</si>
  <si>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</si>
  <si>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</si>
  <si>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</si>
  <si>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</si>
  <si>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</si>
  <si>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</si>
  <si>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</si>
  <si>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</si>
  <si>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</si>
  <si>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</si>
  <si>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</si>
  <si>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</si>
  <si>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</si>
  <si>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</si>
  <si>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</si>
  <si>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</si>
  <si>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</si>
  <si>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</si>
  <si>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</si>
  <si>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</si>
  <si>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</si>
  <si>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</si>
  <si>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</si>
  <si>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</si>
  <si>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</si>
  <si>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</si>
  <si>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</si>
  <si>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</si>
  <si>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</si>
  <si>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</si>
  <si>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</si>
  <si>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</si>
  <si>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MM2045</t>
  </si>
  <si>
    <t>Wine 2x1000 ml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</si>
  <si>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</si>
  <si>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</si>
  <si>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</si>
  <si>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</si>
  <si>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</si>
  <si>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</si>
  <si>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</si>
  <si>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</si>
  <si>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</si>
  <si>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</si>
  <si>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</si>
  <si>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</si>
  <si>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MM1932</t>
  </si>
  <si>
    <t>Wine 3x250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</si>
  <si>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</si>
  <si>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</si>
  <si>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</si>
  <si>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</si>
  <si>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</si>
  <si>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</si>
  <si>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</si>
  <si>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</si>
  <si>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MM1826</t>
  </si>
  <si>
    <t>Wine 4x187.5 ml</t>
  </si>
  <si>
    <t>MM1865</t>
  </si>
  <si>
    <t>Wine 4x200 ml</t>
  </si>
  <si>
    <t>MM1931</t>
  </si>
  <si>
    <t>Wine 4x250 ml</t>
  </si>
  <si>
    <t>MM2053</t>
  </si>
  <si>
    <t>Wine 4x375 ml</t>
  </si>
  <si>
    <t>MM2125</t>
  </si>
  <si>
    <t>Wine 4x500 ml</t>
  </si>
  <si>
    <t>MM1960</t>
  </si>
  <si>
    <t>Wine 6x187 ml</t>
  </si>
  <si>
    <t>MM2065</t>
  </si>
  <si>
    <t>Wine 6x250 ml</t>
  </si>
  <si>
    <t>MM1329</t>
  </si>
  <si>
    <t>Wine 6x50 ml</t>
  </si>
  <si>
    <t>MM2225</t>
  </si>
  <si>
    <t>Wine 6x750 ml</t>
  </si>
  <si>
    <t>MM2370</t>
  </si>
  <si>
    <t>Wine 12x50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</si>
  <si>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</si>
  <si>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</si>
  <si>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</si>
  <si>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</si>
  <si>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</si>
  <si>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</si>
  <si>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</si>
  <si>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</si>
  <si>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</si>
  <si>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</si>
  <si>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</si>
  <si>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</si>
  <si>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</si>
  <si>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</si>
  <si>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</si>
  <si>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</si>
  <si>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</si>
  <si>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</si>
  <si>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</si>
  <si>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</si>
  <si>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</si>
  <si>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</si>
  <si>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</si>
  <si>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</si>
  <si>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</si>
  <si>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</si>
  <si>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</si>
  <si>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</si>
  <si>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</si>
  <si>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</si>
  <si>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</si>
  <si>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</si>
  <si>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</si>
  <si>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</si>
  <si>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</si>
  <si>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</si>
  <si>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</si>
  <si>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</si>
  <si>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</si>
  <si>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</si>
  <si>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</si>
  <si>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</si>
  <si>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</si>
  <si>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</si>
  <si>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</si>
  <si>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</si>
  <si>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</si>
  <si>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</si>
  <si>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</si>
  <si>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</si>
  <si>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</si>
  <si>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</si>
  <si>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</si>
  <si>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</si>
  <si>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</si>
  <si>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</si>
  <si>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</si>
  <si>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</si>
  <si>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</si>
  <si>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</si>
  <si>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</si>
  <si>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</si>
  <si>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</si>
  <si>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</si>
  <si>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</si>
  <si>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</si>
  <si>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</si>
  <si>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</si>
  <si>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</si>
  <si>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</si>
  <si>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</si>
  <si>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</si>
  <si>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</si>
  <si>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</si>
  <si>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</si>
  <si>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</si>
  <si>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</si>
  <si>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</si>
  <si>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</si>
  <si>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</si>
  <si>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</si>
  <si>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</si>
  <si>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</si>
  <si>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</si>
  <si>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</si>
  <si>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</si>
  <si>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</si>
  <si>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</si>
  <si>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</si>
  <si>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</si>
  <si>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</si>
  <si>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</si>
  <si>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</si>
  <si>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</si>
  <si>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</si>
  <si>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</si>
  <si>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</si>
  <si>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</si>
  <si>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</si>
  <si>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</si>
  <si>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</si>
  <si>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</si>
  <si>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</si>
  <si>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</si>
  <si>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</si>
  <si>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</si>
  <si>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</si>
  <si>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</si>
  <si>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</si>
  <si>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</si>
  <si>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</si>
  <si>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</si>
  <si>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</si>
  <si>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</si>
  <si>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</si>
  <si>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</si>
  <si>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</si>
  <si>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</si>
  <si>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</si>
  <si>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</si>
  <si>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</si>
  <si>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</si>
  <si>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</si>
  <si>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</si>
  <si>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</si>
  <si>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</si>
  <si>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</si>
  <si>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</si>
  <si>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</si>
  <si>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</si>
  <si>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</si>
  <si>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</si>
  <si>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</si>
  <si>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</si>
  <si>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</si>
  <si>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</si>
  <si>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</si>
  <si>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</si>
  <si>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</si>
  <si>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</si>
  <si>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</si>
  <si>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</si>
  <si>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</si>
  <si>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</si>
  <si>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</si>
  <si>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</si>
  <si>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</si>
  <si>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</si>
  <si>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</si>
  <si>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</si>
  <si>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</si>
  <si>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</si>
  <si>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</si>
  <si>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</si>
  <si>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</si>
  <si>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</si>
  <si>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</si>
  <si>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</si>
  <si>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</si>
  <si>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</si>
  <si>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</si>
  <si>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</si>
  <si>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</si>
  <si>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</si>
  <si>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</si>
  <si>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</si>
  <si>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</si>
  <si>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</si>
  <si>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</si>
  <si>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</si>
  <si>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</si>
  <si>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</si>
  <si>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</si>
  <si>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</si>
  <si>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</si>
  <si>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</si>
  <si>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</si>
  <si>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</si>
  <si>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</si>
  <si>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</si>
  <si>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</si>
  <si>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</si>
  <si>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</si>
  <si>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</si>
  <si>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</si>
  <si>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</si>
  <si>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</si>
  <si>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</si>
  <si>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</si>
  <si>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</si>
  <si>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</si>
  <si>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</si>
  <si>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</si>
  <si>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</si>
  <si>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</si>
  <si>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</si>
  <si>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</si>
  <si>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</si>
  <si>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</si>
  <si>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</si>
  <si>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</si>
  <si>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</si>
  <si>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</si>
  <si>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</si>
  <si>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</si>
  <si>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</si>
  <si>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</si>
  <si>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</si>
  <si>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</si>
  <si>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</si>
  <si>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</si>
  <si>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</si>
  <si>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</si>
  <si>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</si>
  <si>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</si>
  <si>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</si>
  <si>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</si>
  <si>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</si>
  <si>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</si>
  <si>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</si>
  <si>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</si>
  <si>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</si>
  <si>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</si>
  <si>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</si>
  <si>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</si>
  <si>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</si>
  <si>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</si>
  <si>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</si>
  <si>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</si>
  <si>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</si>
  <si>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</si>
  <si>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</si>
  <si>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</si>
  <si>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</si>
  <si>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</si>
  <si>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</si>
  <si>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</si>
  <si>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</si>
  <si>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</si>
  <si>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</si>
  <si>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</si>
  <si>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</si>
  <si>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</si>
  <si>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</si>
  <si>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</si>
  <si>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</si>
  <si>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</si>
  <si>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</si>
  <si>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</si>
  <si>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</si>
  <si>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</si>
  <si>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</si>
  <si>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</si>
  <si>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</si>
  <si>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</si>
  <si>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</si>
  <si>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</si>
  <si>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</si>
  <si>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</si>
  <si>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</si>
  <si>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</si>
  <si>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</si>
  <si>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</si>
  <si>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</si>
  <si>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</si>
  <si>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</si>
  <si>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</si>
  <si>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</si>
  <si>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</si>
  <si>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</si>
  <si>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</si>
  <si>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</si>
  <si>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</si>
  <si>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</si>
  <si>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</si>
  <si>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</si>
  <si>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</si>
  <si>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</si>
  <si>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</si>
  <si>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</si>
  <si>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</si>
  <si>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</si>
  <si>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</si>
  <si>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</si>
  <si>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</si>
  <si>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</si>
  <si>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</si>
  <si>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</si>
  <si>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</si>
  <si>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</si>
  <si>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</si>
  <si>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</si>
  <si>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</si>
  <si>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</si>
  <si>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</si>
  <si>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</si>
  <si>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</si>
  <si>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</si>
  <si>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</si>
  <si>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</si>
  <si>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</si>
  <si>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</si>
  <si>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</si>
  <si>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</si>
  <si>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</si>
  <si>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</si>
  <si>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</si>
  <si>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</si>
  <si>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</si>
  <si>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</si>
  <si>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</si>
  <si>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</si>
  <si>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</si>
  <si>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</si>
  <si>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</si>
  <si>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</si>
  <si>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</si>
  <si>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</si>
  <si>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</si>
  <si>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</si>
  <si>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</si>
  <si>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</si>
  <si>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</si>
  <si>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</si>
  <si>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</si>
  <si>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</si>
  <si>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</si>
  <si>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</si>
  <si>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</si>
  <si>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</si>
  <si>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</si>
  <si>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</si>
  <si>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</si>
  <si>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</si>
  <si>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</si>
  <si>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</si>
  <si>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</si>
  <si>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</si>
  <si>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</si>
  <si>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</si>
  <si>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</si>
  <si>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</si>
  <si>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</si>
  <si>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</si>
  <si>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</si>
  <si>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</si>
  <si>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</si>
  <si>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</si>
  <si>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</si>
  <si>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</si>
  <si>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</si>
  <si>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</si>
  <si>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</si>
  <si>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</si>
  <si>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</si>
  <si>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</si>
  <si>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</si>
  <si>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</si>
  <si>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</si>
  <si>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</si>
  <si>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</si>
  <si>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</si>
  <si>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</si>
  <si>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</si>
  <si>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</si>
  <si>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</si>
  <si>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</si>
  <si>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</si>
  <si>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</si>
  <si>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</si>
  <si>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</si>
  <si>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</si>
  <si>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</si>
  <si>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</si>
  <si>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</si>
  <si>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</si>
  <si>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</si>
  <si>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</si>
  <si>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</si>
  <si>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</si>
  <si>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</si>
  <si>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</si>
  <si>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</si>
  <si>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</si>
  <si>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</si>
  <si>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</si>
  <si>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</si>
  <si>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</si>
  <si>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</si>
  <si>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</si>
  <si>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</si>
  <si>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</si>
  <si>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</si>
  <si>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</si>
  <si>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</si>
  <si>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</si>
  <si>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</si>
  <si>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</si>
  <si>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</si>
  <si>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</si>
  <si>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</si>
  <si>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</si>
  <si>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</si>
  <si>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</si>
  <si>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</si>
  <si>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</si>
  <si>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</si>
  <si>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</si>
  <si>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</si>
  <si>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</si>
  <si>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</si>
  <si>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</si>
  <si>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</si>
  <si>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</si>
  <si>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&gt;=700 mL</t>
  </si>
  <si>
    <t>Beer</t>
  </si>
  <si>
    <t>&lt;10,000 L</t>
  </si>
  <si>
    <t>&gt;=20,000 L</t>
  </si>
  <si>
    <t>Refreshment Beverages</t>
  </si>
  <si>
    <t>Wine</t>
  </si>
  <si>
    <t>&gt;=4,000 mL</t>
  </si>
  <si>
    <t>Fortified Wine</t>
  </si>
  <si>
    <t>Other Wine</t>
  </si>
  <si>
    <t>Manitoba Liquor &amp; Lotteries</t>
  </si>
  <si>
    <t>Trial Pricing Calculator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</si>
  <si>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</si>
  <si>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</si>
  <si>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</si>
  <si>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</si>
  <si>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</si>
  <si>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</si>
  <si>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</si>
  <si>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</si>
  <si>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</si>
  <si>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</si>
  <si>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</si>
  <si>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</si>
  <si>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</si>
  <si>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</si>
  <si>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</si>
  <si>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</si>
  <si>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</si>
  <si>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</si>
  <si>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</si>
  <si>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</si>
  <si>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</si>
  <si>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</si>
  <si>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</si>
  <si>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</si>
  <si>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</si>
  <si>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</si>
  <si>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</si>
  <si>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</si>
  <si>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</si>
  <si>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</si>
  <si>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</si>
  <si>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</si>
  <si>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</si>
  <si>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</si>
  <si>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</si>
  <si>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</si>
  <si>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</si>
  <si>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</si>
  <si>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</si>
  <si>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</si>
  <si>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</si>
  <si>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</si>
  <si>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</si>
  <si>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</si>
  <si>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</si>
  <si>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Brandy/Cognac</t>
  </si>
  <si>
    <t>Sake</t>
  </si>
  <si>
    <t>Cider</t>
  </si>
  <si>
    <t>Yes</t>
  </si>
  <si>
    <t>CAD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</si>
  <si>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</si>
  <si>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</si>
  <si>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</si>
  <si>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</si>
  <si>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</si>
  <si>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</si>
  <si>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</si>
  <si>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</si>
  <si>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</si>
  <si>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</si>
  <si>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California - Modesto - Gallo</t>
  </si>
  <si>
    <t>Duty Paid</t>
  </si>
  <si>
    <t>Liqueur</t>
  </si>
  <si>
    <t>Wine Cooler</t>
  </si>
  <si>
    <t>EUR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</si>
  <si>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</si>
  <si>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</si>
  <si>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</si>
  <si>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</si>
  <si>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</si>
  <si>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</si>
  <si>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</si>
  <si>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</si>
  <si>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</si>
  <si>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</si>
  <si>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</si>
  <si>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</si>
  <si>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</si>
  <si>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</si>
  <si>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</si>
  <si>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</si>
  <si>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</si>
  <si>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</si>
  <si>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</si>
  <si>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</si>
  <si>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</si>
  <si>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</si>
  <si>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</si>
  <si>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</si>
  <si>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</si>
  <si>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</si>
  <si>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</si>
  <si>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</si>
  <si>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</si>
  <si>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</si>
  <si>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</si>
  <si>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</si>
  <si>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</si>
  <si>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</si>
  <si>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</si>
  <si>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</si>
  <si>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</si>
  <si>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</si>
  <si>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</si>
  <si>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</si>
  <si>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</si>
  <si>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</si>
  <si>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</si>
  <si>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</si>
  <si>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</si>
  <si>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</si>
  <si>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</si>
  <si>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</si>
  <si>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</si>
  <si>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</si>
  <si>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</si>
  <si>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</si>
  <si>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</si>
  <si>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</si>
  <si>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</si>
  <si>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</si>
  <si>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</si>
  <si>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</si>
  <si>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</si>
  <si>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</si>
  <si>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</si>
  <si>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</si>
  <si>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</si>
  <si>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</si>
  <si>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</si>
  <si>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</si>
  <si>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</si>
  <si>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</si>
  <si>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</si>
  <si>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</si>
  <si>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</si>
  <si>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</si>
  <si>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</si>
  <si>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</si>
  <si>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</si>
  <si>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</si>
  <si>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</si>
  <si>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</si>
  <si>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</si>
  <si>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</si>
  <si>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</si>
  <si>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</si>
  <si>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</si>
  <si>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</si>
  <si>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</si>
  <si>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</si>
  <si>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>Year, Month of PC, Update Number</t>
  </si>
  <si>
    <t>Australia (FCA &amp; FOB)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</si>
  <si>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</si>
  <si>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</si>
  <si>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</si>
  <si>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</si>
  <si>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</si>
  <si>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</si>
  <si>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</si>
  <si>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</si>
  <si>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</si>
  <si>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</si>
  <si>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</si>
  <si>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Set Cell: G41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</si>
  <si>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G41)</t>
    </r>
  </si>
  <si>
    <t>Disclaimer</t>
  </si>
  <si>
    <t>Malt Based Cooler</t>
  </si>
  <si>
    <t xml:space="preserve">Micro Produced </t>
  </si>
  <si>
    <t>Level</t>
  </si>
  <si>
    <t xml:space="preserve">% </t>
  </si>
  <si>
    <t>$</t>
  </si>
  <si>
    <t>Mead/Other</t>
  </si>
  <si>
    <t>Refreshment Beverage/Ciders</t>
  </si>
  <si>
    <t>Beer - MBLL Retail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</si>
  <si>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</si>
  <si>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</si>
  <si>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</si>
  <si>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</si>
  <si>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</si>
  <si>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</si>
  <si>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</si>
  <si>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</si>
  <si>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</si>
  <si>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</si>
  <si>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</si>
  <si>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</si>
  <si>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</si>
  <si>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</si>
  <si>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</si>
  <si>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</si>
  <si>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</si>
  <si>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</si>
  <si>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</si>
  <si>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</si>
  <si>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</si>
  <si>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</si>
  <si>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</si>
  <si>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</si>
  <si>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</si>
  <si>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</si>
  <si>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MM1131</t>
  </si>
  <si>
    <t>Beer Bottle 284 ml</t>
  </si>
  <si>
    <t>MM1218</t>
  </si>
  <si>
    <t>Beer Bottles 340 ml</t>
  </si>
  <si>
    <t>MM1236</t>
  </si>
  <si>
    <t>Beer Cans 404 ml</t>
  </si>
  <si>
    <t>MM1274</t>
  </si>
  <si>
    <t>MM1275</t>
  </si>
  <si>
    <t>Beer Cans 4x500 ml</t>
  </si>
  <si>
    <t>MM1421</t>
  </si>
  <si>
    <t>Beer Bottles4X650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</si>
  <si>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</si>
  <si>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</si>
  <si>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</si>
  <si>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</si>
  <si>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</si>
  <si>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</si>
  <si>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</si>
  <si>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</si>
  <si>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</si>
  <si>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</si>
  <si>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MM1907</t>
  </si>
  <si>
    <t>Beer Bottle 22x330 2x355 2x341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</si>
  <si>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</si>
  <si>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</si>
  <si>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</si>
  <si>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</si>
  <si>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</si>
  <si>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</si>
  <si>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</si>
  <si>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</si>
  <si>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MM1913</t>
  </si>
  <si>
    <t>Beer Btl 19x330 ml Can3x500 ml</t>
  </si>
  <si>
    <t>MM1914</t>
  </si>
  <si>
    <t>Beer Btl 21x330 Can 3x500 ml</t>
  </si>
  <si>
    <t>MM1916</t>
  </si>
  <si>
    <t>Beer Cans 4x330 ml 20x355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</si>
  <si>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</si>
  <si>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</si>
  <si>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</si>
  <si>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</si>
  <si>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</si>
  <si>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</si>
  <si>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</si>
  <si>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</si>
  <si>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</si>
  <si>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</si>
  <si>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</si>
  <si>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</si>
  <si>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</si>
  <si>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</si>
  <si>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</si>
  <si>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</si>
  <si>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MM2126</t>
  </si>
  <si>
    <t>Beer Cans 24x500 ml</t>
  </si>
  <si>
    <t>MM2562</t>
  </si>
  <si>
    <t>Beer Can 8x222 ml</t>
  </si>
  <si>
    <t>MM2563</t>
  </si>
  <si>
    <t>Beer Can 10x473 ml</t>
  </si>
  <si>
    <t>MM2564</t>
  </si>
  <si>
    <t>Beer Keg 10000 ml</t>
  </si>
  <si>
    <t>MM2566</t>
  </si>
  <si>
    <t>Beer Can 15x473 ml</t>
  </si>
  <si>
    <t>MM1601</t>
  </si>
  <si>
    <t>Spirits 3x100 ml</t>
  </si>
  <si>
    <t>MM1602</t>
  </si>
  <si>
    <t>Spirits 4x100 ml</t>
  </si>
  <si>
    <t>MM1813</t>
  </si>
  <si>
    <t>Spirits 4x50 ml</t>
  </si>
  <si>
    <t>MM1880</t>
  </si>
  <si>
    <t>Spirits 200 ml</t>
  </si>
  <si>
    <t>MM1955</t>
  </si>
  <si>
    <t>Spirits 250 ml</t>
  </si>
  <si>
    <t>MM2050</t>
  </si>
  <si>
    <t>Spirits 350 ml</t>
  </si>
  <si>
    <t>100-299 mL</t>
  </si>
  <si>
    <t>300-399 mL</t>
  </si>
  <si>
    <t>400-699 mL</t>
  </si>
  <si>
    <t>10,000-19,999 L</t>
  </si>
  <si>
    <t>100-249 mL</t>
  </si>
  <si>
    <t>250-399 mL</t>
  </si>
  <si>
    <t>100-374 mL</t>
  </si>
  <si>
    <t>375-699 mL</t>
  </si>
  <si>
    <t>700-3,999 mL</t>
  </si>
  <si>
    <t>MM2127</t>
  </si>
  <si>
    <t>Refreshment Bev. 24x341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</si>
  <si>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</si>
  <si>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</si>
  <si>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</si>
  <si>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</si>
  <si>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</si>
  <si>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</si>
  <si>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</si>
  <si>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</si>
  <si>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</si>
  <si>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</si>
  <si>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</si>
  <si>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</si>
  <si>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</si>
  <si>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</si>
  <si>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MM2223</t>
  </si>
  <si>
    <t>Wine 4x750 ml</t>
  </si>
  <si>
    <t>MM1686</t>
  </si>
  <si>
    <t>Wine 650 ml</t>
  </si>
  <si>
    <t>MM2226</t>
  </si>
  <si>
    <t>Wine 8x750 ml</t>
  </si>
  <si>
    <t>Units per Case</t>
  </si>
  <si>
    <t xml:space="preserve">Social Reference Price (SRP)  </t>
  </si>
  <si>
    <t>Code</t>
  </si>
  <si>
    <t>Future Rate</t>
  </si>
  <si>
    <t>Description</t>
  </si>
  <si>
    <t>MM1310</t>
  </si>
  <si>
    <t>Liqueur 30 ml</t>
  </si>
  <si>
    <t>MM1400</t>
  </si>
  <si>
    <t>Liqueur 40 ml</t>
  </si>
  <si>
    <t>MM1460</t>
  </si>
  <si>
    <t>Liqueur 50 ml</t>
  </si>
  <si>
    <t>MM1580</t>
  </si>
  <si>
    <t>Bulk Wine 12x750 ml</t>
  </si>
  <si>
    <t>MM1670</t>
  </si>
  <si>
    <t>Liqueur 100 ml</t>
  </si>
  <si>
    <t>MM1755</t>
  </si>
  <si>
    <t>Liqueur 150 ml</t>
  </si>
  <si>
    <t>MM2060</t>
  </si>
  <si>
    <t>Liqueur 375 ml</t>
  </si>
  <si>
    <t>MM2077</t>
  </si>
  <si>
    <t>Spirits 3x375 ml</t>
  </si>
  <si>
    <t>MM2078</t>
  </si>
  <si>
    <t>Spirits 2x750 ml</t>
  </si>
  <si>
    <t>MM2079</t>
  </si>
  <si>
    <t>Spirits 3x750 ml</t>
  </si>
  <si>
    <t>MM2081</t>
  </si>
  <si>
    <t>Spirits 4x750 ml</t>
  </si>
  <si>
    <t>MM2110</t>
  </si>
  <si>
    <t>Spirits 450 ml</t>
  </si>
  <si>
    <t>MM2135</t>
  </si>
  <si>
    <t>Liqueur 500 ml</t>
  </si>
  <si>
    <t>MM2146</t>
  </si>
  <si>
    <t>Spirits 460 ml</t>
  </si>
  <si>
    <t>MM2174</t>
  </si>
  <si>
    <t>Spirits 24x30 ml</t>
  </si>
  <si>
    <t>MM2177</t>
  </si>
  <si>
    <t>Spirits 12x50 ml</t>
  </si>
  <si>
    <t>MM2178</t>
  </si>
  <si>
    <t>Liqueur 20x50 ml</t>
  </si>
  <si>
    <t>MM2195</t>
  </si>
  <si>
    <t>Liqueur 700 ml</t>
  </si>
  <si>
    <t>MM2205</t>
  </si>
  <si>
    <t>Liqueur 710 ml</t>
  </si>
  <si>
    <t>MM2240</t>
  </si>
  <si>
    <t>Liqueur 750 ml</t>
  </si>
  <si>
    <t>MM2248</t>
  </si>
  <si>
    <t>Spirits 750 ml and 3x50 ml</t>
  </si>
  <si>
    <t>MM2274</t>
  </si>
  <si>
    <t>Spirits 750 ml and 2x100 ml</t>
  </si>
  <si>
    <t>MM2275</t>
  </si>
  <si>
    <t>Spirits 750 ml and 200 ml</t>
  </si>
  <si>
    <t>MM2285</t>
  </si>
  <si>
    <t>Liqueur 1000 ml</t>
  </si>
  <si>
    <t>MM2320</t>
  </si>
  <si>
    <t>Spirits 1140 ml</t>
  </si>
  <si>
    <t>MM2365</t>
  </si>
  <si>
    <t>Spirits 1500 ml</t>
  </si>
  <si>
    <t>MM2390</t>
  </si>
  <si>
    <t>Spirits 1750 ml</t>
  </si>
  <si>
    <t>MM2440</t>
  </si>
  <si>
    <t>Spirits 3000 ml</t>
  </si>
  <si>
    <t>MM2544</t>
  </si>
  <si>
    <t>Spirits 6000 ml</t>
  </si>
  <si>
    <t>MM1917</t>
  </si>
  <si>
    <t>B4x473 1x440 1x500 1x330 1x355</t>
  </si>
  <si>
    <t>MM1295</t>
  </si>
  <si>
    <t>Beer 454 ml bottle/440 ml can</t>
  </si>
  <si>
    <t>MM1906</t>
  </si>
  <si>
    <t>Beer Cans 12x355 ml Btl 12x341</t>
  </si>
  <si>
    <t>MM1644</t>
  </si>
  <si>
    <t>Beer Can 4x480 ml</t>
  </si>
  <si>
    <t>MM1643</t>
  </si>
  <si>
    <t>Beer Cans 6x500 ml</t>
  </si>
  <si>
    <t>MM1276</t>
  </si>
  <si>
    <t>Beer Cans 8x355 ml</t>
  </si>
  <si>
    <t xml:space="preserve">Certificate of Origin </t>
  </si>
  <si>
    <t>Ready to Drink</t>
  </si>
  <si>
    <t>Quebec Zone 1 - Montreal (Pointe Claire)</t>
  </si>
  <si>
    <t>Quebec Zone 2 - Montreal (Wine Totes)</t>
  </si>
  <si>
    <t>Quebec Zone 3 - Montreal (SAQ &amp; Misc.)</t>
  </si>
  <si>
    <t>Ontario Zone 3 - Toronto/Mississauga (Constellation)</t>
  </si>
  <si>
    <t>Retail Price before Taxes &amp; Deposit</t>
  </si>
  <si>
    <t>Effective JULY 1, 2024</t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</si>
  <si>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federal excise tax</t>
    </r>
  </si>
  <si>
    <t xml:space="preserve">     The reduced markup level based on supplier's annual production that has been</t>
  </si>
  <si>
    <t xml:space="preserve">      pre-approved by MBLL  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</si>
  <si>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 the retail price</t>
    </r>
  </si>
  <si>
    <t xml:space="preserve">     may change. 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</si>
  <si>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 The trial pricing calculator is designed to price the most  commonly used</t>
    </r>
  </si>
  <si>
    <t xml:space="preserve">     product sizes.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</si>
</sst>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24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00153E"/>
      <name val="Calibri"/>
      <family val="2"/>
      <scheme val="minor"/>
    </font>
    <font>
      <sz val="9"/>
      <color rgb="FF00153E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/>
      <diagonal/>
    </border>
    <border>
      <left style="thin">
        <color theme="0"/>
      </left>
      <right/>
      <top style="thin">
        <color rgb="FF00206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rgb="FF002060"/>
      </top>
      <bottom/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thin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hair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hair">
        <color theme="0"/>
      </right>
      <top style="thin">
        <color theme="0"/>
      </top>
      <bottom/>
      <diagonal/>
    </border>
    <border>
      <left/>
      <right style="hair">
        <color theme="0"/>
      </right>
      <top style="thin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/>
      <bottom style="hair">
        <color theme="0"/>
      </bottom>
      <diagonal/>
    </border>
  </borders>
  <cellStyleXfs count="819">
    <xf numFmtId="0" fontId="0" fillId="0" borderId="0"/>
    <xf numFmtId="0" fontId="7" fillId="0" borderId="0"/>
    <xf numFmtId="0" fontId="7" fillId="0" borderId="0"/>
    <xf numFmtId="0" fontId="1" fillId="0" borderId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5" borderId="32" applyNumberFormat="0" applyAlignment="0" applyProtection="0"/>
    <xf numFmtId="0" fontId="33" fillId="16" borderId="33" applyNumberFormat="0" applyAlignment="0" applyProtection="0"/>
    <xf numFmtId="0" fontId="34" fillId="16" borderId="32" applyNumberFormat="0" applyAlignment="0" applyProtection="0"/>
    <xf numFmtId="0" fontId="35" fillId="0" borderId="34" applyNumberFormat="0" applyFill="0" applyAlignment="0" applyProtection="0"/>
    <xf numFmtId="0" fontId="2" fillId="17" borderId="3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37" applyNumberFormat="0" applyFill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0" fontId="1" fillId="0" borderId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5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5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3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5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5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56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5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58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53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5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44" borderId="0" applyNumberFormat="0" applyBorder="0" applyAlignment="0" applyProtection="0"/>
    <xf numFmtId="0" fontId="34" fillId="16" borderId="32" applyNumberFormat="0" applyAlignment="0" applyProtection="0"/>
    <xf numFmtId="0" fontId="34" fillId="16" borderId="32" applyNumberFormat="0" applyAlignment="0" applyProtection="0"/>
    <xf numFmtId="0" fontId="34" fillId="16" borderId="32" applyNumberFormat="0" applyAlignment="0" applyProtection="0"/>
    <xf numFmtId="0" fontId="34" fillId="16" borderId="32" applyNumberFormat="0" applyAlignment="0" applyProtection="0"/>
    <xf numFmtId="0" fontId="34" fillId="16" borderId="32" applyNumberFormat="0" applyAlignment="0" applyProtection="0"/>
    <xf numFmtId="0" fontId="34" fillId="16" borderId="32" applyNumberFormat="0" applyAlignment="0" applyProtection="0"/>
    <xf numFmtId="0" fontId="43" fillId="47" borderId="32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45" borderId="0" applyNumberFormat="0" applyBorder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4" fillId="0" borderId="38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45" fillId="0" borderId="39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6" fillId="0" borderId="4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15" borderId="32" applyNumberFormat="0" applyAlignment="0" applyProtection="0"/>
    <xf numFmtId="0" fontId="32" fillId="15" borderId="32" applyNumberFormat="0" applyAlignment="0" applyProtection="0"/>
    <xf numFmtId="0" fontId="32" fillId="15" borderId="32" applyNumberFormat="0" applyAlignment="0" applyProtection="0"/>
    <xf numFmtId="0" fontId="32" fillId="15" borderId="32" applyNumberFormat="0" applyAlignment="0" applyProtection="0"/>
    <xf numFmtId="0" fontId="32" fillId="15" borderId="32" applyNumberFormat="0" applyAlignment="0" applyProtection="0"/>
    <xf numFmtId="0" fontId="32" fillId="15" borderId="32" applyNumberFormat="0" applyAlignment="0" applyProtection="0"/>
    <xf numFmtId="0" fontId="32" fillId="47" borderId="32" applyNumberFormat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47" fillId="0" borderId="41" applyNumberFormat="0" applyFill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8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39" fillId="0" borderId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49" fillId="18" borderId="36" applyNumberFormat="0" applyFont="0" applyAlignment="0" applyProtection="0"/>
    <xf numFmtId="0" fontId="49" fillId="18" borderId="36" applyNumberFormat="0" applyFont="0" applyAlignment="0" applyProtection="0"/>
    <xf numFmtId="0" fontId="33" fillId="16" borderId="33" applyNumberFormat="0" applyAlignment="0" applyProtection="0"/>
    <xf numFmtId="0" fontId="33" fillId="16" borderId="33" applyNumberFormat="0" applyAlignment="0" applyProtection="0"/>
    <xf numFmtId="0" fontId="33" fillId="16" borderId="33" applyNumberFormat="0" applyAlignment="0" applyProtection="0"/>
    <xf numFmtId="0" fontId="33" fillId="16" borderId="33" applyNumberFormat="0" applyAlignment="0" applyProtection="0"/>
    <xf numFmtId="0" fontId="33" fillId="16" borderId="33" applyNumberFormat="0" applyAlignment="0" applyProtection="0"/>
    <xf numFmtId="0" fontId="33" fillId="16" borderId="33" applyNumberFormat="0" applyAlignment="0" applyProtection="0"/>
    <xf numFmtId="0" fontId="33" fillId="47" borderId="3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37" applyNumberFormat="0" applyFill="0" applyAlignment="0" applyProtection="0"/>
    <xf numFmtId="0" fontId="3" fillId="0" borderId="37" applyNumberFormat="0" applyFill="0" applyAlignment="0" applyProtection="0"/>
    <xf numFmtId="0" fontId="3" fillId="0" borderId="37" applyNumberFormat="0" applyFill="0" applyAlignment="0" applyProtection="0"/>
    <xf numFmtId="0" fontId="3" fillId="0" borderId="37" applyNumberFormat="0" applyFill="0" applyAlignment="0" applyProtection="0"/>
    <xf numFmtId="0" fontId="3" fillId="0" borderId="37" applyNumberFormat="0" applyFill="0" applyAlignment="0" applyProtection="0"/>
    <xf numFmtId="0" fontId="3" fillId="0" borderId="37" applyNumberFormat="0" applyFill="0" applyAlignment="0" applyProtection="0"/>
    <xf numFmtId="0" fontId="3" fillId="0" borderId="42" applyNumberFormat="0" applyFill="0" applyAlignment="0" applyProtection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8" borderId="0" applyNumberFormat="0" applyBorder="0" applyAlignment="0" applyProtection="0"/>
    <xf numFmtId="0" fontId="38" fillId="42" borderId="0" applyNumberFormat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40" fillId="0" borderId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42" fillId="14" borderId="0" applyNumberFormat="0" applyBorder="0" applyAlignment="0" applyProtection="0"/>
    <xf numFmtId="0" fontId="32" fillId="15" borderId="32" applyNumberFormat="0" applyAlignment="0" applyProtection="0"/>
    <xf numFmtId="0" fontId="33" fillId="16" borderId="33" applyNumberFormat="0" applyAlignment="0" applyProtection="0"/>
    <xf numFmtId="0" fontId="34" fillId="16" borderId="32" applyNumberFormat="0" applyAlignment="0" applyProtection="0"/>
    <xf numFmtId="0" fontId="35" fillId="0" borderId="34" applyNumberFormat="0" applyFill="0" applyAlignment="0" applyProtection="0"/>
    <xf numFmtId="0" fontId="2" fillId="17" borderId="3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37" applyNumberFormat="0" applyFill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8" fillId="42" borderId="0" applyNumberFormat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0" fillId="0" borderId="0"/>
    <xf numFmtId="0" fontId="1" fillId="18" borderId="36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7" xfId="0" applyFont="1" applyFill="1" applyBorder="1" applyProtection="1"/>
    <xf numFmtId="0" fontId="19" fillId="8" borderId="0" xfId="0" applyFont="1" applyFill="1" applyBorder="1" applyProtection="1"/>
    <xf numFmtId="0" fontId="19" fillId="8" borderId="19" xfId="0" applyFont="1" applyFill="1" applyBorder="1" applyProtection="1"/>
    <xf numFmtId="0" fontId="11" fillId="0" borderId="18" xfId="0" applyFont="1" applyBorder="1" applyProtection="1"/>
    <xf numFmtId="0" fontId="11" fillId="0" borderId="0" xfId="0" applyFont="1" applyBorder="1" applyProtection="1"/>
    <xf numFmtId="0" fontId="11" fillId="0" borderId="19" xfId="0" applyFont="1" applyBorder="1" applyProtection="1"/>
    <xf numFmtId="0" fontId="11" fillId="0" borderId="20" xfId="0" applyFont="1" applyBorder="1" applyProtection="1"/>
    <xf numFmtId="0" fontId="11" fillId="0" borderId="23" xfId="0" applyFont="1" applyBorder="1" applyProtection="1"/>
    <xf numFmtId="0" fontId="11" fillId="0" borderId="21" xfId="0" applyFont="1" applyBorder="1" applyProtection="1"/>
    <xf numFmtId="0" fontId="11" fillId="0" borderId="0" xfId="0" applyFont="1" applyProtection="1"/>
    <xf numFmtId="0" fontId="20" fillId="5" borderId="0" xfId="0" applyFont="1" applyFill="1" applyBorder="1" applyAlignment="1" applyProtection="1">
      <alignment horizontal="center"/>
    </xf>
    <xf numFmtId="0" fontId="20" fillId="5" borderId="18" xfId="0" applyFont="1" applyFill="1" applyBorder="1" applyAlignment="1" applyProtection="1">
      <alignment horizontal="center"/>
    </xf>
    <xf numFmtId="0" fontId="11" fillId="0" borderId="21" xfId="0" applyFont="1" applyBorder="1" applyAlignment="1" applyProtection="1">
      <alignment vertical="center"/>
    </xf>
    <xf numFmtId="0" fontId="20" fillId="5" borderId="19" xfId="0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22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11" fillId="0" borderId="22" xfId="0" applyFont="1" applyBorder="1" applyProtection="1"/>
    <xf numFmtId="0" fontId="11" fillId="0" borderId="24" xfId="0" applyFont="1" applyBorder="1" applyProtection="1"/>
    <xf numFmtId="0" fontId="11" fillId="5" borderId="18" xfId="0" applyFont="1" applyFill="1" applyBorder="1" applyProtection="1"/>
    <xf numFmtId="0" fontId="11" fillId="5" borderId="0" xfId="0" applyFont="1" applyFill="1" applyBorder="1" applyProtection="1"/>
    <xf numFmtId="0" fontId="11" fillId="5" borderId="19" xfId="0" applyFont="1" applyFill="1" applyBorder="1" applyProtection="1"/>
    <xf numFmtId="0" fontId="11" fillId="0" borderId="22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horizontal="right" vertical="center"/>
    </xf>
    <xf numFmtId="0" fontId="11" fillId="0" borderId="22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66" fontId="11" fillId="0" borderId="19" xfId="0" applyNumberFormat="1" applyFont="1" applyBorder="1" applyAlignment="1" applyProtection="1">
      <alignment horizontal="left"/>
    </xf>
    <xf numFmtId="0" fontId="20" fillId="5" borderId="18" xfId="0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horizontal="left"/>
    </xf>
    <xf numFmtId="0" fontId="20" fillId="5" borderId="19" xfId="0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19" xfId="0" applyFont="1" applyBorder="1" applyAlignment="1" applyProtection="1">
      <alignment horizontal="left"/>
    </xf>
    <xf numFmtId="0" fontId="11" fillId="9" borderId="25" xfId="0" applyFont="1" applyFill="1" applyBorder="1" applyProtection="1"/>
    <xf numFmtId="0" fontId="11" fillId="9" borderId="25" xfId="0" applyFont="1" applyFill="1" applyBorder="1" applyAlignment="1" applyProtection="1">
      <alignment horizontal="right" vertical="center"/>
    </xf>
    <xf numFmtId="0" fontId="11" fillId="9" borderId="25" xfId="0" applyFont="1" applyFill="1" applyBorder="1" applyAlignment="1" applyProtection="1">
      <alignment horizontal="right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Protection="1"/>
    <xf numFmtId="0" fontId="11" fillId="5" borderId="18" xfId="0" applyFont="1" applyFill="1" applyBorder="1" applyProtection="1"/>
    <xf numFmtId="0" fontId="11" fillId="5" borderId="0" xfId="0" applyFont="1" applyFill="1" applyBorder="1" applyProtection="1"/>
    <xf numFmtId="0" fontId="11" fillId="5" borderId="19" xfId="0" applyFont="1" applyFill="1" applyBorder="1" applyProtection="1"/>
    <xf numFmtId="0" fontId="11" fillId="0" borderId="12" xfId="0" applyFont="1" applyBorder="1" applyProtection="1"/>
    <xf numFmtId="0" fontId="11" fillId="0" borderId="24" xfId="0" applyFont="1" applyBorder="1" applyAlignment="1" applyProtection="1">
      <alignment horizontal="right" vertical="center"/>
    </xf>
    <xf numFmtId="0" fontId="0" fillId="0" borderId="1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6" borderId="0" xfId="0" applyFill="1" applyBorder="1"/>
    <xf numFmtId="0" fontId="0" fillId="0" borderId="13" xfId="0" applyBorder="1"/>
    <xf numFmtId="0" fontId="0" fillId="5" borderId="0" xfId="0" applyFill="1" applyBorder="1"/>
    <xf numFmtId="0" fontId="13" fillId="9" borderId="0" xfId="0" applyFont="1" applyFill="1" applyBorder="1" applyAlignment="1">
      <alignment horizontal="right" vertical="top"/>
    </xf>
    <xf numFmtId="0" fontId="16" fillId="9" borderId="0" xfId="0" applyFont="1" applyFill="1" applyBorder="1"/>
    <xf numFmtId="0" fontId="17" fillId="9" borderId="0" xfId="0" applyFont="1" applyFill="1" applyBorder="1"/>
    <xf numFmtId="0" fontId="11" fillId="9" borderId="0" xfId="0" applyFont="1" applyFill="1" applyBorder="1"/>
    <xf numFmtId="0" fontId="0" fillId="9" borderId="0" xfId="0" applyFill="1" applyBorder="1"/>
    <xf numFmtId="0" fontId="11" fillId="0" borderId="27" xfId="0" applyFont="1" applyBorder="1" applyProtection="1"/>
    <xf numFmtId="0" fontId="11" fillId="9" borderId="0" xfId="0" applyFont="1" applyFill="1" applyBorder="1" applyAlignment="1">
      <alignment vertical="top"/>
    </xf>
    <xf numFmtId="0" fontId="0" fillId="7" borderId="18" xfId="0" applyFont="1" applyFill="1" applyBorder="1" applyAlignment="1" applyProtection="1">
      <alignment horizontal="center"/>
    </xf>
    <xf numFmtId="0" fontId="0" fillId="7" borderId="19" xfId="0" applyFont="1" applyFill="1" applyBorder="1" applyAlignment="1" applyProtection="1">
      <alignment horizontal="center"/>
    </xf>
    <xf numFmtId="0" fontId="11" fillId="7" borderId="20" xfId="0" applyFont="1" applyFill="1" applyBorder="1" applyProtection="1"/>
    <xf numFmtId="0" fontId="18" fillId="7" borderId="18" xfId="0" applyFont="1" applyFill="1" applyBorder="1" applyAlignment="1" applyProtection="1">
      <alignment horizontal="center"/>
    </xf>
    <xf numFmtId="0" fontId="18" fillId="7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11" fillId="7" borderId="19" xfId="0" applyFont="1" applyFill="1" applyBorder="1" applyAlignment="1" applyProtection="1">
      <alignment horizontal="center"/>
    </xf>
    <xf numFmtId="0" fontId="11" fillId="10" borderId="18" xfId="0" applyFont="1" applyFill="1" applyBorder="1" applyProtection="1"/>
    <xf numFmtId="0" fontId="11" fillId="10" borderId="19" xfId="0" applyFont="1" applyFill="1" applyBorder="1" applyProtection="1"/>
    <xf numFmtId="0" fontId="11" fillId="0" borderId="21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vertical="center"/>
    </xf>
    <xf numFmtId="0" fontId="11" fillId="0" borderId="22" xfId="0" applyFont="1" applyFill="1" applyBorder="1" applyProtection="1"/>
    <xf numFmtId="0" fontId="22" fillId="9" borderId="0" xfId="0" applyFont="1" applyFill="1" applyBorder="1"/>
    <xf numFmtId="0" fontId="0" fillId="11" borderId="12" xfId="0" applyFill="1" applyBorder="1"/>
    <xf numFmtId="0" fontId="22" fillId="9" borderId="0" xfId="0" applyFont="1" applyFill="1" applyBorder="1" applyAlignment="1">
      <alignment vertical="top"/>
    </xf>
    <xf numFmtId="164" fontId="5" fillId="0" borderId="44" xfId="0" applyNumberFormat="1" applyFont="1" applyFill="1" applyBorder="1" applyAlignment="1" applyProtection="1"/>
    <xf numFmtId="164" fontId="5" fillId="0" borderId="45" xfId="0" applyNumberFormat="1" applyFont="1" applyFill="1" applyBorder="1" applyAlignment="1" applyProtection="1"/>
    <xf numFmtId="164" fontId="5" fillId="0" borderId="43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2" xfId="0" applyNumberFormat="1" applyFont="1" applyBorder="1" applyProtection="1"/>
    <xf numFmtId="2" fontId="11" fillId="0" borderId="19" xfId="0" applyNumberFormat="1" applyFont="1" applyBorder="1" applyProtection="1"/>
    <xf numFmtId="2" fontId="11" fillId="0" borderId="24" xfId="0" applyNumberFormat="1" applyFont="1" applyBorder="1" applyProtection="1"/>
    <xf numFmtId="166" fontId="0" fillId="0" borderId="0" xfId="0" applyNumberFormat="1" applyFont="1"/>
    <xf numFmtId="166" fontId="0" fillId="0" borderId="0" xfId="0" applyNumberFormat="1"/>
    <xf numFmtId="0" fontId="0" fillId="60" borderId="0" xfId="0" applyFont="1" applyFill="1"/>
    <xf numFmtId="0" fontId="3" fillId="60" borderId="0" xfId="0" applyFont="1" applyFill="1"/>
    <xf numFmtId="0" fontId="0" fillId="60" borderId="0" xfId="0" applyFill="1"/>
    <xf numFmtId="0" fontId="0" fillId="11" borderId="27" xfId="0" applyFill="1" applyBorder="1"/>
    <xf numFmtId="168" fontId="0" fillId="0" borderId="0" xfId="818" applyNumberFormat="1" applyFont="1"/>
    <xf numFmtId="2" fontId="53" fillId="0" borderId="19" xfId="0" applyNumberFormat="1" applyFont="1" applyBorder="1" applyProtection="1"/>
    <xf numFmtId="0" fontId="19" fillId="8" borderId="18" xfId="0" applyFont="1" applyFill="1" applyBorder="1" applyAlignment="1" applyProtection="1">
      <alignment horizontal="center" wrapText="1"/>
    </xf>
    <xf numFmtId="0" fontId="19" fillId="8" borderId="19" xfId="0" applyFont="1" applyFill="1" applyBorder="1" applyAlignment="1" applyProtection="1">
      <alignment horizontal="center" wrapText="1"/>
    </xf>
    <xf numFmtId="0" fontId="19" fillId="8" borderId="0" xfId="0" applyFont="1" applyFill="1" applyBorder="1" applyAlignment="1" applyProtection="1">
      <alignment horizontal="center" wrapText="1"/>
    </xf>
    <xf numFmtId="0" fontId="19" fillId="8" borderId="20" xfId="0" applyFont="1" applyFill="1" applyBorder="1" applyAlignment="1" applyProtection="1">
      <alignment horizontal="center" wrapText="1"/>
    </xf>
    <xf numFmtId="0" fontId="56" fillId="5" borderId="0" xfId="0" applyFont="1" applyFill="1" applyBorder="1"/>
    <xf numFmtId="0" fontId="0" fillId="7" borderId="0" xfId="0" applyFill="1" applyBorder="1"/>
    <xf numFmtId="0" fontId="14" fillId="7" borderId="0" xfId="0" applyFont="1" applyFill="1" applyBorder="1"/>
    <xf numFmtId="0" fontId="58" fillId="7" borderId="0" xfId="0" applyFont="1" applyFill="1" applyBorder="1"/>
    <xf numFmtId="0" fontId="11" fillId="0" borderId="26" xfId="0" applyFont="1" applyBorder="1" applyProtection="1"/>
    <xf numFmtId="0" fontId="0" fillId="0" borderId="46" xfId="0" applyBorder="1"/>
    <xf numFmtId="0" fontId="11" fillId="0" borderId="13" xfId="0" applyFont="1" applyBorder="1" applyProtection="1"/>
    <xf numFmtId="0" fontId="0" fillId="0" borderId="0" xfId="0" applyBorder="1"/>
    <xf numFmtId="0" fontId="0" fillId="11" borderId="0" xfId="0" applyFill="1" applyBorder="1"/>
    <xf numFmtId="14" fontId="13" fillId="0" borderId="0" xfId="0" applyNumberFormat="1" applyFont="1" applyBorder="1" applyAlignment="1">
      <alignment horizontal="right"/>
    </xf>
    <xf numFmtId="0" fontId="0" fillId="0" borderId="47" xfId="0" applyBorder="1"/>
    <xf numFmtId="0" fontId="0" fillId="6" borderId="55" xfId="0" applyFill="1" applyBorder="1"/>
    <xf numFmtId="0" fontId="0" fillId="6" borderId="51" xfId="0" applyFill="1" applyBorder="1"/>
    <xf numFmtId="0" fontId="0" fillId="7" borderId="50" xfId="0" applyFill="1" applyBorder="1"/>
    <xf numFmtId="0" fontId="0" fillId="7" borderId="55" xfId="0" applyFill="1" applyBorder="1"/>
    <xf numFmtId="0" fontId="0" fillId="7" borderId="56" xfId="0" applyFill="1" applyBorder="1"/>
    <xf numFmtId="0" fontId="0" fillId="7" borderId="57" xfId="0" applyFill="1" applyBorder="1"/>
    <xf numFmtId="0" fontId="0" fillId="7" borderId="51" xfId="0" applyFill="1" applyBorder="1"/>
    <xf numFmtId="0" fontId="19" fillId="8" borderId="59" xfId="0" applyFont="1" applyFill="1" applyBorder="1"/>
    <xf numFmtId="0" fontId="0" fillId="0" borderId="59" xfId="0" applyBorder="1"/>
    <xf numFmtId="0" fontId="0" fillId="9" borderId="59" xfId="0" applyFill="1" applyBorder="1"/>
    <xf numFmtId="2" fontId="0" fillId="9" borderId="59" xfId="0" applyNumberFormat="1" applyFill="1" applyBorder="1"/>
    <xf numFmtId="0" fontId="11" fillId="0" borderId="59" xfId="0" applyFont="1" applyBorder="1" applyProtection="1"/>
    <xf numFmtId="0" fontId="11" fillId="64" borderId="60" xfId="0" applyFont="1" applyFill="1" applyBorder="1" applyProtection="1"/>
    <xf numFmtId="0" fontId="0" fillId="64" borderId="51" xfId="0" applyFill="1" applyBorder="1"/>
    <xf numFmtId="0" fontId="0" fillId="64" borderId="56" xfId="0" applyFill="1" applyBorder="1"/>
    <xf numFmtId="0" fontId="0" fillId="64" borderId="58" xfId="0" applyFill="1" applyBorder="1"/>
    <xf numFmtId="0" fontId="11" fillId="64" borderId="61" xfId="0" applyFont="1" applyFill="1" applyBorder="1" applyProtection="1"/>
    <xf numFmtId="0" fontId="0" fillId="0" borderId="62" xfId="0" applyBorder="1"/>
    <xf numFmtId="0" fontId="11" fillId="64" borderId="63" xfId="0" applyFont="1" applyFill="1" applyBorder="1" applyProtection="1"/>
    <xf numFmtId="0" fontId="0" fillId="0" borderId="64" xfId="0" applyBorder="1"/>
    <xf numFmtId="0" fontId="11" fillId="64" borderId="49" xfId="0" applyFont="1" applyFill="1" applyBorder="1" applyProtection="1"/>
    <xf numFmtId="0" fontId="11" fillId="64" borderId="54" xfId="0" applyFont="1" applyFill="1" applyBorder="1" applyProtection="1"/>
    <xf numFmtId="0" fontId="0" fillId="64" borderId="50" xfId="0" applyFill="1" applyBorder="1"/>
    <xf numFmtId="0" fontId="0" fillId="64" borderId="55" xfId="0" applyFill="1" applyBorder="1"/>
    <xf numFmtId="166" fontId="0" fillId="64" borderId="55" xfId="0" applyNumberFormat="1" applyFill="1" applyBorder="1"/>
    <xf numFmtId="0" fontId="0" fillId="6" borderId="0" xfId="0" applyFill="1" applyBorder="1" applyAlignment="1" applyProtection="1">
      <protection locked="0"/>
    </xf>
    <xf numFmtId="166" fontId="14" fillId="7" borderId="0" xfId="0" applyNumberFormat="1" applyFont="1" applyFill="1" applyBorder="1" applyAlignment="1"/>
    <xf numFmtId="166" fontId="8" fillId="7" borderId="0" xfId="0" applyNumberFormat="1" applyFont="1" applyFill="1" applyBorder="1" applyAlignment="1">
      <alignment horizontal="center"/>
    </xf>
    <xf numFmtId="166" fontId="14" fillId="7" borderId="0" xfId="0" applyNumberFormat="1" applyFont="1" applyFill="1" applyBorder="1" applyAlignment="1">
      <alignment horizontal="right"/>
    </xf>
    <xf numFmtId="0" fontId="38" fillId="65" borderId="48" xfId="0" applyFont="1" applyFill="1" applyBorder="1"/>
    <xf numFmtId="0" fontId="57" fillId="65" borderId="0" xfId="0" applyFont="1" applyFill="1" applyBorder="1" applyAlignment="1"/>
    <xf numFmtId="0" fontId="57" fillId="65" borderId="48" xfId="0" applyFont="1" applyFill="1" applyBorder="1" applyAlignment="1"/>
    <xf numFmtId="167" fontId="57" fillId="65" borderId="58" xfId="0" applyNumberFormat="1" applyFont="1" applyFill="1" applyBorder="1" applyAlignment="1" applyProtection="1">
      <protection locked="0" hidden="1"/>
    </xf>
    <xf numFmtId="0" fontId="60" fillId="6" borderId="0" xfId="0" applyFont="1" applyFill="1" applyBorder="1"/>
    <xf numFmtId="0" fontId="61" fillId="6" borderId="0" xfId="0" applyFont="1" applyFill="1" applyBorder="1" applyAlignment="1" applyProtection="1">
      <protection locked="0"/>
    </xf>
    <xf numFmtId="0" fontId="61" fillId="6" borderId="0" xfId="0" applyFont="1" applyFill="1" applyBorder="1" applyAlignment="1">
      <alignment horizontal="right"/>
    </xf>
    <xf numFmtId="0" fontId="61" fillId="6" borderId="57" xfId="0" applyFont="1" applyFill="1" applyBorder="1"/>
    <xf numFmtId="0" fontId="0" fillId="6" borderId="57" xfId="0" applyFill="1" applyBorder="1" applyProtection="1">
      <protection locked="0"/>
    </xf>
    <xf numFmtId="0" fontId="11" fillId="0" borderId="59" xfId="0" applyFont="1" applyBorder="1"/>
    <xf numFmtId="166" fontId="11" fillId="9" borderId="59" xfId="0" applyNumberFormat="1" applyFont="1" applyFill="1" applyBorder="1"/>
    <xf numFmtId="0" fontId="0" fillId="0" borderId="67" xfId="0" applyBorder="1"/>
    <xf numFmtId="0" fontId="0" fillId="0" borderId="70" xfId="0" applyBorder="1"/>
    <xf numFmtId="0" fontId="0" fillId="5" borderId="69" xfId="0" applyFill="1" applyBorder="1"/>
    <xf numFmtId="0" fontId="0" fillId="9" borderId="69" xfId="0" applyFill="1" applyBorder="1"/>
    <xf numFmtId="0" fontId="0" fillId="9" borderId="71" xfId="0" applyFill="1" applyBorder="1"/>
    <xf numFmtId="0" fontId="11" fillId="0" borderId="72" xfId="0" applyFont="1" applyBorder="1" applyProtection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56" fillId="5" borderId="78" xfId="0" applyFont="1" applyFill="1" applyBorder="1"/>
    <xf numFmtId="0" fontId="16" fillId="9" borderId="78" xfId="0" applyFont="1" applyFill="1" applyBorder="1"/>
    <xf numFmtId="0" fontId="11" fillId="9" borderId="78" xfId="0" applyFont="1" applyFill="1" applyBorder="1"/>
    <xf numFmtId="0" fontId="0" fillId="9" borderId="79" xfId="0" applyFill="1" applyBorder="1"/>
    <xf numFmtId="0" fontId="11" fillId="64" borderId="68" xfId="0" applyFont="1" applyFill="1" applyBorder="1" applyProtection="1"/>
    <xf numFmtId="0" fontId="11" fillId="64" borderId="77" xfId="0" applyFont="1" applyFill="1" applyBorder="1" applyProtection="1"/>
    <xf numFmtId="0" fontId="0" fillId="64" borderId="69" xfId="0" applyFill="1" applyBorder="1"/>
    <xf numFmtId="0" fontId="0" fillId="64" borderId="78" xfId="0" applyFill="1" applyBorder="1"/>
    <xf numFmtId="0" fontId="0" fillId="6" borderId="65" xfId="0" applyFill="1" applyBorder="1" applyProtection="1">
      <protection hidden="1"/>
    </xf>
    <xf numFmtId="0" fontId="14" fillId="6" borderId="0" xfId="0" applyFont="1" applyFill="1" applyBorder="1" applyAlignment="1" applyProtection="1">
      <alignment horizontal="right"/>
      <protection hidden="1"/>
    </xf>
    <xf numFmtId="167" fontId="14" fillId="6" borderId="65" xfId="0" applyNumberFormat="1" applyFont="1" applyFill="1" applyBorder="1" applyAlignment="1" applyProtection="1">
      <protection hidden="1"/>
    </xf>
    <xf numFmtId="0" fontId="14" fillId="6" borderId="65" xfId="0" applyFont="1" applyFill="1" applyBorder="1" applyAlignment="1" applyProtection="1">
      <protection hidden="1"/>
    </xf>
    <xf numFmtId="168" fontId="14" fillId="6" borderId="65" xfId="0" applyNumberFormat="1" applyFont="1" applyFill="1" applyBorder="1" applyAlignment="1" applyProtection="1">
      <protection hidden="1"/>
    </xf>
    <xf numFmtId="0" fontId="61" fillId="6" borderId="66" xfId="0" applyFont="1" applyFill="1" applyBorder="1" applyAlignment="1" applyProtection="1">
      <alignment horizontal="right"/>
      <protection locked="0"/>
    </xf>
    <xf numFmtId="0" fontId="61" fillId="6" borderId="66" xfId="0" applyFont="1" applyFill="1" applyBorder="1" applyAlignment="1" applyProtection="1">
      <alignment horizontal="right"/>
    </xf>
    <xf numFmtId="167" fontId="61" fillId="6" borderId="66" xfId="0" applyNumberFormat="1" applyFont="1" applyFill="1" applyBorder="1" applyAlignment="1" applyProtection="1">
      <alignment horizontal="right"/>
      <protection locked="0" hidden="1"/>
    </xf>
    <xf numFmtId="168" fontId="61" fillId="6" borderId="66" xfId="0" applyNumberFormat="1" applyFont="1" applyFill="1" applyBorder="1" applyAlignment="1" applyProtection="1">
      <alignment horizontal="right"/>
      <protection locked="0"/>
    </xf>
    <xf numFmtId="0" fontId="62" fillId="6" borderId="66" xfId="0" applyFont="1" applyFill="1" applyBorder="1" applyAlignment="1" applyProtection="1">
      <alignment horizontal="right"/>
      <protection locked="0"/>
    </xf>
    <xf numFmtId="166" fontId="8" fillId="7" borderId="0" xfId="0" applyNumberFormat="1" applyFont="1" applyFill="1" applyBorder="1" applyAlignment="1">
      <alignment horizontal="right"/>
    </xf>
    <xf numFmtId="0" fontId="57" fillId="65" borderId="0" xfId="0" applyFont="1" applyFill="1" applyBorder="1" applyAlignment="1">
      <alignment vertical="center"/>
    </xf>
    <xf numFmtId="0" fontId="0" fillId="6" borderId="5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58" fillId="6" borderId="0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167" fontId="14" fillId="6" borderId="0" xfId="0" applyNumberFormat="1" applyFont="1" applyFill="1" applyBorder="1" applyAlignment="1" applyProtection="1">
      <protection hidden="1"/>
    </xf>
    <xf numFmtId="168" fontId="14" fillId="6" borderId="0" xfId="0" applyNumberFormat="1" applyFont="1" applyFill="1" applyBorder="1" applyAlignment="1" applyProtection="1">
      <protection hidden="1"/>
    </xf>
    <xf numFmtId="0" fontId="14" fillId="6" borderId="0" xfId="0" applyFont="1" applyFill="1" applyBorder="1" applyAlignment="1" applyProtection="1">
      <protection hidden="1"/>
    </xf>
    <xf numFmtId="0" fontId="59" fillId="6" borderId="0" xfId="0" applyFont="1" applyFill="1" applyBorder="1" applyProtection="1">
      <protection hidden="1"/>
    </xf>
    <xf numFmtId="0" fontId="15" fillId="6" borderId="0" xfId="0" applyFont="1" applyFill="1" applyBorder="1" applyAlignment="1" applyProtection="1">
      <alignment horizontal="center" vertical="top"/>
      <protection hidden="1"/>
    </xf>
    <xf numFmtId="0" fontId="58" fillId="6" borderId="0" xfId="0" applyFont="1" applyFill="1" applyBorder="1" applyAlignment="1" applyProtection="1">
      <alignment vertical="top"/>
      <protection hidden="1"/>
    </xf>
    <xf numFmtId="0" fontId="14" fillId="6" borderId="0" xfId="0" applyFont="1" applyFill="1" applyBorder="1" applyAlignment="1" applyProtection="1">
      <alignment vertical="top"/>
      <protection hidden="1"/>
    </xf>
    <xf numFmtId="0" fontId="24" fillId="6" borderId="0" xfId="0" applyFont="1" applyFill="1" applyBorder="1" applyAlignment="1" applyProtection="1">
      <alignment vertical="top"/>
      <protection hidden="1"/>
    </xf>
    <xf numFmtId="0" fontId="0" fillId="6" borderId="0" xfId="0" applyFill="1" applyBorder="1" applyAlignment="1" applyProtection="1">
      <protection hidden="1"/>
    </xf>
    <xf numFmtId="0" fontId="0" fillId="6" borderId="56" xfId="0" applyFill="1" applyBorder="1" applyProtection="1">
      <protection hidden="1"/>
    </xf>
    <xf numFmtId="0" fontId="0" fillId="6" borderId="57" xfId="0" applyFill="1" applyBorder="1" applyProtection="1">
      <protection hidden="1"/>
    </xf>
    <xf numFmtId="0" fontId="10" fillId="61" borderId="49" xfId="0" applyFont="1" applyFill="1" applyBorder="1" applyAlignment="1">
      <alignment horizontal="center" vertical="center"/>
    </xf>
    <xf numFmtId="0" fontId="10" fillId="61" borderId="48" xfId="0" applyFont="1" applyFill="1" applyBorder="1" applyAlignment="1">
      <alignment horizontal="center" vertical="center"/>
    </xf>
    <xf numFmtId="0" fontId="10" fillId="61" borderId="54" xfId="0" applyFont="1" applyFill="1" applyBorder="1" applyAlignment="1">
      <alignment horizontal="center" vertical="center"/>
    </xf>
    <xf numFmtId="0" fontId="51" fillId="61" borderId="56" xfId="0" applyFont="1" applyFill="1" applyBorder="1" applyAlignment="1">
      <alignment horizontal="center"/>
    </xf>
    <xf numFmtId="0" fontId="51" fillId="61" borderId="57" xfId="0" applyFont="1" applyFill="1" applyBorder="1" applyAlignment="1">
      <alignment horizontal="center"/>
    </xf>
    <xf numFmtId="0" fontId="51" fillId="61" borderId="51" xfId="0" applyFont="1" applyFill="1" applyBorder="1" applyAlignment="1">
      <alignment horizontal="center"/>
    </xf>
    <xf numFmtId="0" fontId="10" fillId="61" borderId="49" xfId="0" applyFont="1" applyFill="1" applyBorder="1" applyAlignment="1">
      <alignment horizontal="center"/>
    </xf>
    <xf numFmtId="0" fontId="10" fillId="61" borderId="48" xfId="0" applyFont="1" applyFill="1" applyBorder="1" applyAlignment="1">
      <alignment horizontal="center"/>
    </xf>
    <xf numFmtId="0" fontId="10" fillId="61" borderId="54" xfId="0" applyFont="1" applyFill="1" applyBorder="1" applyAlignment="1">
      <alignment horizontal="center"/>
    </xf>
    <xf numFmtId="0" fontId="12" fillId="63" borderId="52" xfId="0" applyFont="1" applyFill="1" applyBorder="1" applyAlignment="1">
      <alignment horizontal="center"/>
    </xf>
    <xf numFmtId="0" fontId="12" fillId="63" borderId="58" xfId="0" applyFont="1" applyFill="1" applyBorder="1" applyAlignment="1">
      <alignment horizontal="center"/>
    </xf>
    <xf numFmtId="0" fontId="12" fillId="63" borderId="53" xfId="0" applyFont="1" applyFill="1" applyBorder="1" applyAlignment="1">
      <alignment horizontal="center"/>
    </xf>
    <xf numFmtId="0" fontId="12" fillId="62" borderId="52" xfId="0" applyFont="1" applyFill="1" applyBorder="1" applyAlignment="1">
      <alignment horizontal="center"/>
    </xf>
    <xf numFmtId="0" fontId="12" fillId="62" borderId="58" xfId="0" applyFont="1" applyFill="1" applyBorder="1" applyAlignment="1">
      <alignment horizontal="center"/>
    </xf>
    <xf numFmtId="0" fontId="12" fillId="62" borderId="53" xfId="0" applyFont="1" applyFill="1" applyBorder="1" applyAlignment="1">
      <alignment horizontal="center"/>
    </xf>
    <xf numFmtId="0" fontId="0" fillId="7" borderId="14" xfId="0" applyFont="1" applyFill="1" applyBorder="1" applyAlignment="1" applyProtection="1">
      <alignment horizontal="center"/>
    </xf>
    <xf numFmtId="0" fontId="0" fillId="7" borderId="16" xfId="0" applyFont="1" applyFill="1" applyBorder="1" applyAlignment="1" applyProtection="1">
      <alignment horizontal="center"/>
    </xf>
    <xf numFmtId="0" fontId="11" fillId="7" borderId="14" xfId="0" applyFont="1" applyFill="1" applyBorder="1" applyAlignment="1" applyProtection="1">
      <alignment horizontal="center"/>
    </xf>
    <xf numFmtId="0" fontId="11" fillId="7" borderId="16" xfId="0" applyFont="1" applyFill="1" applyBorder="1" applyAlignment="1" applyProtection="1">
      <alignment horizontal="center"/>
    </xf>
    <xf numFmtId="0" fontId="0" fillId="7" borderId="15" xfId="0" applyFont="1" applyFill="1" applyBorder="1" applyAlignment="1" applyProtection="1">
      <alignment horizontal="center"/>
    </xf>
    <xf numFmtId="0" fontId="18" fillId="7" borderId="14" xfId="0" applyFont="1" applyFill="1" applyBorder="1" applyAlignment="1" applyProtection="1">
      <alignment horizontal="center"/>
    </xf>
    <xf numFmtId="0" fontId="18" fillId="7" borderId="15" xfId="0" applyFont="1" applyFill="1" applyBorder="1" applyAlignment="1" applyProtection="1">
      <alignment horizontal="center"/>
    </xf>
    <xf numFmtId="0" fontId="18" fillId="7" borderId="16" xfId="0" applyFont="1" applyFill="1" applyBorder="1" applyAlignment="1" applyProtection="1">
      <alignment horizontal="center"/>
    </xf>
    <xf numFmtId="0" fontId="53" fillId="9" borderId="14" xfId="0" applyFont="1" applyFill="1" applyBorder="1" applyAlignment="1" applyProtection="1">
      <alignment horizontal="center"/>
    </xf>
    <xf numFmtId="0" fontId="53" fillId="9" borderId="15" xfId="0" applyFont="1" applyFill="1" applyBorder="1" applyAlignment="1" applyProtection="1">
      <alignment horizontal="center"/>
    </xf>
    <xf numFmtId="0" fontId="53" fillId="9" borderId="16" xfId="0" applyFont="1" applyFill="1" applyBorder="1" applyAlignment="1" applyProtection="1">
      <alignment horizontal="center"/>
    </xf>
    <xf numFmtId="0" fontId="0" fillId="9" borderId="14" xfId="0" applyFont="1" applyFill="1" applyBorder="1" applyAlignment="1" applyProtection="1">
      <alignment horizontal="center"/>
    </xf>
    <xf numFmtId="0" fontId="0" fillId="9" borderId="15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54" fillId="9" borderId="14" xfId="0" applyFont="1" applyFill="1" applyBorder="1" applyAlignment="1" applyProtection="1">
      <alignment horizontal="center"/>
    </xf>
    <xf numFmtId="0" fontId="54" fillId="9" borderId="15" xfId="0" applyFont="1" applyFill="1" applyBorder="1" applyAlignment="1" applyProtection="1">
      <alignment horizontal="center"/>
    </xf>
    <xf numFmtId="0" fontId="54" fillId="9" borderId="16" xfId="0" applyFont="1" applyFill="1" applyBorder="1" applyAlignment="1" applyProtection="1">
      <alignment horizontal="center"/>
    </xf>
    <xf numFmtId="0" fontId="55" fillId="9" borderId="14" xfId="0" applyFont="1" applyFill="1" applyBorder="1" applyAlignment="1" applyProtection="1">
      <alignment horizontal="center"/>
    </xf>
    <xf numFmtId="0" fontId="55" fillId="9" borderId="15" xfId="0" applyFont="1" applyFill="1" applyBorder="1" applyAlignment="1" applyProtection="1">
      <alignment horizontal="center"/>
    </xf>
    <xf numFmtId="0" fontId="55" fillId="9" borderId="16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/>
    </xf>
    <xf numFmtId="0" fontId="19" fillId="5" borderId="19" xfId="0" applyFont="1" applyFill="1" applyBorder="1" applyAlignment="1" applyProtection="1">
      <alignment horizontal="center"/>
    </xf>
    <xf numFmtId="0" fontId="19" fillId="5" borderId="18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0" fillId="66" borderId="0" xfId="0" applyFill="1" applyBorder="1"/>
    <xf numFmtId="0" fontId="52" fillId="66" borderId="0" xfId="0" applyFont="1" applyFill="1" applyBorder="1" applyAlignment="1">
      <alignment vertical="center"/>
    </xf>
    <xf numFmtId="0" fontId="52" fillId="66" borderId="0" xfId="0" applyFont="1" applyFill="1" applyBorder="1" applyAlignment="1"/>
    <xf numFmtId="0" fontId="52" fillId="66" borderId="51" xfId="0" applyFont="1" applyFill="1" applyBorder="1" applyAlignment="1"/>
    <xf numFmtId="167" fontId="3" fillId="66" borderId="0" xfId="0" applyNumberFormat="1" applyFont="1" applyFill="1" applyBorder="1" applyAlignment="1">
      <alignment horizontal="right" vertical="center"/>
    </xf>
    <xf numFmtId="167" fontId="3" fillId="66" borderId="0" xfId="0" applyNumberFormat="1" applyFont="1" applyFill="1" applyBorder="1" applyAlignment="1"/>
    <xf numFmtId="167" fontId="63" fillId="65" borderId="52" xfId="0" applyNumberFormat="1" applyFont="1" applyFill="1" applyBorder="1" applyAlignment="1" applyProtection="1">
      <alignment horizontal="right" vertical="center"/>
      <protection locked="0" hidden="1"/>
    </xf>
  </cellXfs>
  <cellStyles count="819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" xfId="818" builtinId="5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E5FF"/>
      <color rgb="FF00153E"/>
      <color rgb="FFE5F4F7"/>
      <color rgb="FFF0F8FA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2197100</xdr:colOff>
      <xdr:row>32</xdr:row>
      <xdr:rowOff>38100</xdr:rowOff>
    </xdr:from>
    <xdr:to>
      <xdr:col>11</xdr:col>
      <xdr:colOff>4365908</xdr:colOff>
      <xdr:row>40</xdr:row>
      <xdr:rowOff>222250</xdr:rowOff>
    </xdr:to>
    <xdr:pic>
      <xdr:nvPicPr>
        <xdr:cNvPr id="3" name="Picture 2" descr="Goal seek screenshot">
          <a:extLst>
            <a:ext uri="{FF2B5EF4-FFF2-40B4-BE49-F238E27FC236}">
              <a16:creationId xmlns:a16="http://schemas.microsoft.com/office/drawing/2014/main" id="{24C24F3C-4AC7-3A4F-7ADF-3DEF9F3E8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6692900"/>
          <a:ext cx="2168808" cy="16573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glow rad="63500">
            <a:schemeClr val="accent1">
              <a:satMod val="175000"/>
              <a:alpha val="40000"/>
            </a:schemeClr>
          </a:glow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I259"/>
  <sheetViews>
    <sheetView showGridLines="0" tabSelected="1" zoomScaleNormal="100" workbookViewId="0">
      <selection activeCell="G8" sqref="G8"/>
    </sheetView>
  </sheetViews>
  <sheetFormatPr defaultColWidth="0" defaultRowHeight="14.5" zeroHeight="1" x14ac:dyDescent="0.35"/>
  <cols>
    <col min="1" max="1" width="1.81640625" style="74" customWidth="1"/>
    <col min="2" max="2" width="6.6328125" style="74" customWidth="1"/>
    <col min="3" max="3" width="9.453125" style="74" customWidth="1"/>
    <col min="4" max="4" width="18.1796875" style="74" customWidth="1"/>
    <col min="5" max="5" width="4.6328125" style="74" customWidth="1"/>
    <col min="6" max="6" width="8.81640625" style="74" customWidth="1"/>
    <col min="7" max="7" width="28.54296875" style="74" customWidth="1"/>
    <col min="8" max="8" width="6.6328125" style="74" customWidth="1"/>
    <col min="9" max="9" width="1.7265625" style="102" customWidth="1"/>
    <col min="10" max="10" width="9.1796875" style="102" hidden="1" customWidth="1"/>
    <col min="11" max="11" width="1.81640625" style="102" customWidth="1"/>
    <col min="12" max="12" width="66.54296875" style="102" customWidth="1"/>
    <col min="13" max="13" width="1.36328125" style="74" hidden="1" customWidth="1"/>
    <col min="14" max="14" width="7.54296875" style="74" hidden="1" customWidth="1"/>
    <col min="15" max="27" width="9.1796875" style="74" hidden="1" customWidth="1"/>
    <col min="28" max="28" width="31.90625" style="74" hidden="1" customWidth="1"/>
    <col min="29" max="29" width="9.1796875" style="74" hidden="1" customWidth="1"/>
    <col min="30" max="30" width="11.81640625" style="74" hidden="1" customWidth="1"/>
    <col min="31" max="31" width="9.1796875" style="74" hidden="1" customWidth="1"/>
    <col min="32" max="32" width="19.81640625" style="74" hidden="1" customWidth="1"/>
    <col min="33" max="33" width="9.1796875" style="74" hidden="1" customWidth="1"/>
    <col min="34" max="34" width="13.1796875" style="74" hidden="1" customWidth="1"/>
    <col min="35" max="35" width="9.1796875" style="74" hidden="1" customWidth="1"/>
    <col min="36" max="16384" width="8.90625" style="74" hidden="1"/>
  </cols>
  <sheetData>
    <row r="1" spans="1:35" x14ac:dyDescent="0.35">
      <c r="A1" s="154"/>
      <c r="B1" s="152"/>
      <c r="C1" s="146"/>
      <c r="D1" s="146"/>
      <c r="E1" s="146"/>
      <c r="F1" s="146"/>
      <c r="G1" s="146"/>
      <c r="H1" s="150"/>
      <c r="I1" s="155"/>
      <c r="J1" s="179"/>
      <c r="K1" s="188"/>
      <c r="L1" s="189"/>
      <c r="M1" s="130"/>
      <c r="N1" s="130"/>
      <c r="O1" s="128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5" ht="28.5" x14ac:dyDescent="0.35">
      <c r="A2" s="156"/>
      <c r="B2" s="219" t="s">
        <v>692</v>
      </c>
      <c r="C2" s="220"/>
      <c r="D2" s="220"/>
      <c r="E2" s="220"/>
      <c r="F2" s="220"/>
      <c r="G2" s="220"/>
      <c r="H2" s="221"/>
      <c r="I2" s="157"/>
      <c r="J2" s="142"/>
      <c r="K2" s="190"/>
      <c r="L2" s="191"/>
      <c r="M2" s="130"/>
      <c r="N2" s="130"/>
      <c r="O2" s="238" t="s">
        <v>721</v>
      </c>
      <c r="P2" s="238"/>
      <c r="Q2" s="238"/>
      <c r="R2" s="238"/>
      <c r="S2" s="235"/>
      <c r="T2" s="234" t="s">
        <v>722</v>
      </c>
      <c r="U2" s="235"/>
      <c r="V2" s="29"/>
      <c r="W2" s="236" t="s">
        <v>701</v>
      </c>
      <c r="X2" s="237"/>
      <c r="Y2" s="234" t="s">
        <v>698</v>
      </c>
      <c r="Z2" s="235"/>
      <c r="AA2" s="239" t="s">
        <v>723</v>
      </c>
      <c r="AB2" s="240"/>
      <c r="AC2" s="240"/>
      <c r="AD2" s="240"/>
      <c r="AE2" s="240"/>
      <c r="AF2" s="240"/>
      <c r="AG2" s="241"/>
      <c r="AH2" s="234" t="s">
        <v>746</v>
      </c>
      <c r="AI2" s="235"/>
    </row>
    <row r="3" spans="1:35" ht="28.5" x14ac:dyDescent="0.65">
      <c r="A3" s="156"/>
      <c r="B3" s="225" t="s">
        <v>693</v>
      </c>
      <c r="C3" s="226"/>
      <c r="D3" s="226"/>
      <c r="E3" s="226"/>
      <c r="F3" s="226"/>
      <c r="G3" s="226"/>
      <c r="H3" s="227"/>
      <c r="I3" s="157"/>
      <c r="J3" s="142"/>
      <c r="K3" s="190"/>
      <c r="L3" s="191"/>
      <c r="M3" s="130"/>
      <c r="N3" s="130"/>
      <c r="O3" s="30" t="s">
        <v>721</v>
      </c>
      <c r="P3" s="30" t="s">
        <v>696</v>
      </c>
      <c r="Q3" s="30" t="s">
        <v>696</v>
      </c>
      <c r="R3" s="30" t="s">
        <v>696</v>
      </c>
      <c r="S3" s="31" t="s">
        <v>696</v>
      </c>
      <c r="T3" s="88"/>
      <c r="U3" s="89"/>
      <c r="V3" s="90"/>
      <c r="W3" s="94"/>
      <c r="X3" s="95"/>
      <c r="Y3" s="88"/>
      <c r="Z3" s="89"/>
      <c r="AA3" s="91"/>
      <c r="AB3" s="92"/>
      <c r="AC3" s="92"/>
      <c r="AD3" s="92"/>
      <c r="AE3" s="92"/>
      <c r="AF3" s="92"/>
      <c r="AG3" s="93"/>
      <c r="AH3" s="88"/>
      <c r="AI3" s="89"/>
    </row>
    <row r="4" spans="1:35" ht="31" x14ac:dyDescent="0.7">
      <c r="A4" s="156"/>
      <c r="B4" s="222" t="s">
        <v>1083</v>
      </c>
      <c r="C4" s="223"/>
      <c r="D4" s="223"/>
      <c r="E4" s="223"/>
      <c r="F4" s="223"/>
      <c r="G4" s="223"/>
      <c r="H4" s="224"/>
      <c r="I4" s="157"/>
      <c r="J4" s="142"/>
      <c r="K4" s="190"/>
      <c r="L4" s="191"/>
      <c r="M4" s="130"/>
      <c r="N4" s="130"/>
      <c r="O4" s="30" t="s">
        <v>721</v>
      </c>
      <c r="P4" s="30" t="s">
        <v>696</v>
      </c>
      <c r="Q4" s="30" t="s">
        <v>696</v>
      </c>
      <c r="R4" s="30" t="s">
        <v>696</v>
      </c>
      <c r="S4" s="31" t="s">
        <v>696</v>
      </c>
      <c r="T4" s="119" t="s">
        <v>722</v>
      </c>
      <c r="U4" s="120" t="s">
        <v>724</v>
      </c>
      <c r="V4" s="122" t="s">
        <v>726</v>
      </c>
      <c r="W4" s="119" t="s">
        <v>737</v>
      </c>
      <c r="X4" s="120" t="s">
        <v>738</v>
      </c>
      <c r="Y4" s="119" t="s">
        <v>698</v>
      </c>
      <c r="Z4" s="120" t="s">
        <v>725</v>
      </c>
      <c r="AA4" s="119" t="s">
        <v>723</v>
      </c>
      <c r="AB4" s="121" t="s">
        <v>727</v>
      </c>
      <c r="AC4" s="121" t="s">
        <v>728</v>
      </c>
      <c r="AD4" s="121" t="s">
        <v>729</v>
      </c>
      <c r="AE4" s="121" t="s">
        <v>730</v>
      </c>
      <c r="AF4" s="121" t="s">
        <v>731</v>
      </c>
      <c r="AG4" s="120" t="s">
        <v>732</v>
      </c>
      <c r="AH4" s="119" t="s">
        <v>852</v>
      </c>
      <c r="AI4" s="120" t="s">
        <v>725</v>
      </c>
    </row>
    <row r="5" spans="1:35" x14ac:dyDescent="0.35">
      <c r="A5" s="156"/>
      <c r="B5" s="153"/>
      <c r="C5" s="77"/>
      <c r="D5" s="77"/>
      <c r="E5" s="77"/>
      <c r="F5" s="77"/>
      <c r="G5" s="77"/>
      <c r="H5" s="151"/>
      <c r="I5" s="157"/>
      <c r="J5" s="142"/>
      <c r="K5" s="190"/>
      <c r="L5" s="191"/>
      <c r="M5" s="130"/>
      <c r="N5" s="130"/>
      <c r="O5" s="33" t="s">
        <v>688</v>
      </c>
      <c r="P5" s="30" t="s">
        <v>733</v>
      </c>
      <c r="Q5" s="30" t="s">
        <v>688</v>
      </c>
      <c r="R5" s="30" t="s">
        <v>1077</v>
      </c>
      <c r="S5" s="31" t="s">
        <v>684</v>
      </c>
      <c r="T5" s="119"/>
      <c r="U5" s="120"/>
      <c r="V5" s="122"/>
      <c r="W5" s="119"/>
      <c r="X5" s="120"/>
      <c r="Y5" s="119"/>
      <c r="Z5" s="120"/>
      <c r="AA5" s="119"/>
      <c r="AB5" s="121"/>
      <c r="AC5" s="121"/>
      <c r="AD5" s="121"/>
      <c r="AE5" s="121"/>
      <c r="AF5" s="121"/>
      <c r="AG5" s="120"/>
      <c r="AH5" s="119"/>
      <c r="AI5" s="120"/>
    </row>
    <row r="6" spans="1:35" ht="21" x14ac:dyDescent="0.5">
      <c r="A6" s="156"/>
      <c r="B6" s="228" t="s">
        <v>694</v>
      </c>
      <c r="C6" s="229"/>
      <c r="D6" s="229"/>
      <c r="E6" s="229"/>
      <c r="F6" s="229"/>
      <c r="G6" s="229"/>
      <c r="H6" s="230"/>
      <c r="I6" s="157"/>
      <c r="J6" s="141" t="s">
        <v>838</v>
      </c>
      <c r="K6" s="80"/>
      <c r="L6" s="123" t="s">
        <v>710</v>
      </c>
      <c r="M6" s="180"/>
      <c r="N6" s="181"/>
      <c r="O6" s="32" t="s">
        <v>733</v>
      </c>
      <c r="P6" s="33" t="s">
        <v>739</v>
      </c>
      <c r="Q6" s="33" t="s">
        <v>740</v>
      </c>
      <c r="R6" s="33" t="s">
        <v>741</v>
      </c>
      <c r="S6" s="34" t="s">
        <v>684</v>
      </c>
      <c r="T6" s="32" t="s">
        <v>742</v>
      </c>
      <c r="U6" s="34">
        <v>1</v>
      </c>
      <c r="V6" s="35" t="s">
        <v>421</v>
      </c>
      <c r="W6" s="32" t="s">
        <v>746</v>
      </c>
      <c r="X6" s="34" t="s">
        <v>747</v>
      </c>
      <c r="Y6" s="32" t="s">
        <v>743</v>
      </c>
      <c r="Z6" s="109">
        <v>1</v>
      </c>
      <c r="AA6" s="32" t="s">
        <v>737</v>
      </c>
      <c r="AB6" s="33" t="s">
        <v>1078</v>
      </c>
      <c r="AC6" s="107">
        <v>0.52</v>
      </c>
      <c r="AD6" s="33" t="s">
        <v>744</v>
      </c>
      <c r="AE6" s="107">
        <v>0.55000000000000004</v>
      </c>
      <c r="AF6" s="33" t="s">
        <v>745</v>
      </c>
      <c r="AG6" s="109">
        <v>2.0299999999999998</v>
      </c>
      <c r="AH6" s="32" t="s">
        <v>684</v>
      </c>
      <c r="AI6" s="34">
        <v>0.36230000000000001</v>
      </c>
    </row>
    <row r="7" spans="1:35" x14ac:dyDescent="0.35">
      <c r="A7" s="156"/>
      <c r="B7" s="204"/>
      <c r="C7" s="205"/>
      <c r="D7" s="205"/>
      <c r="E7" s="205"/>
      <c r="F7" s="78"/>
      <c r="G7" s="167"/>
      <c r="H7" s="134"/>
      <c r="I7" s="157"/>
      <c r="J7" s="141" t="s">
        <v>839</v>
      </c>
      <c r="K7" s="81"/>
      <c r="L7" s="82" t="s">
        <v>711</v>
      </c>
      <c r="M7" s="175"/>
      <c r="N7" s="75"/>
      <c r="O7" s="32" t="s">
        <v>1077</v>
      </c>
      <c r="P7" s="33" t="s">
        <v>748</v>
      </c>
      <c r="Q7" s="33" t="s">
        <v>749</v>
      </c>
      <c r="R7" s="33" t="s">
        <v>750</v>
      </c>
      <c r="S7" s="34"/>
      <c r="T7" s="32" t="s">
        <v>751</v>
      </c>
      <c r="U7" s="34"/>
      <c r="V7" s="35" t="s">
        <v>418</v>
      </c>
      <c r="W7" s="32" t="s">
        <v>755</v>
      </c>
      <c r="X7" s="34"/>
      <c r="Y7" s="32" t="s">
        <v>752</v>
      </c>
      <c r="Z7" s="118">
        <v>0.9</v>
      </c>
      <c r="AA7" s="32" t="s">
        <v>753</v>
      </c>
      <c r="AB7" s="33" t="s">
        <v>1079</v>
      </c>
      <c r="AC7" s="107">
        <v>0.7</v>
      </c>
      <c r="AD7" s="33" t="s">
        <v>754</v>
      </c>
      <c r="AE7" s="107">
        <v>0.88</v>
      </c>
      <c r="AF7" s="33" t="s">
        <v>846</v>
      </c>
      <c r="AG7" s="109">
        <v>1.68</v>
      </c>
      <c r="AH7" s="96" t="s">
        <v>853</v>
      </c>
      <c r="AI7" s="97">
        <v>13.569000000000001</v>
      </c>
    </row>
    <row r="8" spans="1:35" x14ac:dyDescent="0.35">
      <c r="A8" s="156"/>
      <c r="B8" s="204"/>
      <c r="C8" s="206" t="s">
        <v>695</v>
      </c>
      <c r="D8" s="207"/>
      <c r="E8" s="205"/>
      <c r="F8" s="192"/>
      <c r="G8" s="197"/>
      <c r="H8" s="134"/>
      <c r="I8" s="157"/>
      <c r="J8" s="142"/>
      <c r="K8" s="81"/>
      <c r="L8" s="83" t="s">
        <v>712</v>
      </c>
      <c r="M8" s="175"/>
      <c r="N8" s="75"/>
      <c r="O8" s="32" t="s">
        <v>684</v>
      </c>
      <c r="P8" s="33" t="s">
        <v>756</v>
      </c>
      <c r="Q8" s="33" t="s">
        <v>769</v>
      </c>
      <c r="R8" s="33" t="s">
        <v>757</v>
      </c>
      <c r="S8" s="34"/>
      <c r="T8" s="32"/>
      <c r="U8" s="34"/>
      <c r="V8" s="35"/>
      <c r="W8" s="32"/>
      <c r="X8" s="34"/>
      <c r="Y8" s="32" t="s">
        <v>758</v>
      </c>
      <c r="Z8" s="109">
        <v>1.52</v>
      </c>
      <c r="AA8" s="32" t="s">
        <v>738</v>
      </c>
      <c r="AB8" s="33" t="s">
        <v>1080</v>
      </c>
      <c r="AC8" s="107">
        <v>0.89</v>
      </c>
      <c r="AD8" s="33" t="s">
        <v>759</v>
      </c>
      <c r="AE8" s="107">
        <v>1.18</v>
      </c>
      <c r="AF8" s="33" t="s">
        <v>760</v>
      </c>
      <c r="AG8" s="109">
        <v>2.84</v>
      </c>
      <c r="AH8" s="96" t="s">
        <v>854</v>
      </c>
      <c r="AI8" s="97">
        <v>0.34399999999999997</v>
      </c>
    </row>
    <row r="9" spans="1:35" x14ac:dyDescent="0.35">
      <c r="A9" s="156"/>
      <c r="B9" s="204"/>
      <c r="C9" s="206" t="s">
        <v>696</v>
      </c>
      <c r="D9" s="207"/>
      <c r="E9" s="205"/>
      <c r="F9" s="192"/>
      <c r="G9" s="197"/>
      <c r="H9" s="134"/>
      <c r="I9" s="157"/>
      <c r="J9" s="142"/>
      <c r="K9" s="81"/>
      <c r="L9" s="84" t="s">
        <v>713</v>
      </c>
      <c r="M9" s="175"/>
      <c r="N9" s="75"/>
      <c r="O9" s="32"/>
      <c r="P9" s="33" t="s">
        <v>761</v>
      </c>
      <c r="Q9" s="33"/>
      <c r="R9" s="33" t="s">
        <v>861</v>
      </c>
      <c r="S9" s="34"/>
      <c r="T9" s="32"/>
      <c r="U9" s="34"/>
      <c r="V9" s="35"/>
      <c r="W9" s="32"/>
      <c r="X9" s="34"/>
      <c r="Y9" s="32" t="s">
        <v>762</v>
      </c>
      <c r="Z9" s="109">
        <v>0.85</v>
      </c>
      <c r="AA9" s="32"/>
      <c r="AB9" s="33" t="s">
        <v>763</v>
      </c>
      <c r="AC9" s="107">
        <v>0.47</v>
      </c>
      <c r="AD9" s="33" t="s">
        <v>764</v>
      </c>
      <c r="AE9" s="107">
        <v>0.7</v>
      </c>
      <c r="AF9" s="33" t="s">
        <v>765</v>
      </c>
      <c r="AG9" s="109">
        <v>4.88</v>
      </c>
      <c r="AH9" s="32" t="s">
        <v>855</v>
      </c>
      <c r="AI9" s="34">
        <v>0.71599999999999997</v>
      </c>
    </row>
    <row r="10" spans="1:35" x14ac:dyDescent="0.35">
      <c r="A10" s="156"/>
      <c r="B10" s="204"/>
      <c r="C10" s="206" t="s">
        <v>862</v>
      </c>
      <c r="D10" s="207"/>
      <c r="E10" s="205"/>
      <c r="F10" s="192"/>
      <c r="G10" s="197"/>
      <c r="H10" s="134"/>
      <c r="I10" s="157"/>
      <c r="J10" s="142"/>
      <c r="K10" s="81"/>
      <c r="L10" s="84" t="s">
        <v>1084</v>
      </c>
      <c r="M10" s="175"/>
      <c r="N10" s="75"/>
      <c r="O10" s="32"/>
      <c r="P10" s="33" t="s">
        <v>768</v>
      </c>
      <c r="Q10" s="33"/>
      <c r="S10" s="34"/>
      <c r="T10" s="32"/>
      <c r="U10" s="34"/>
      <c r="V10" s="35"/>
      <c r="W10" s="32"/>
      <c r="X10" s="34"/>
      <c r="Y10" s="32" t="s">
        <v>770</v>
      </c>
      <c r="Z10" s="109">
        <v>0.08</v>
      </c>
      <c r="AA10" s="32"/>
      <c r="AB10" s="33" t="s">
        <v>771</v>
      </c>
      <c r="AC10" s="107">
        <v>0.45</v>
      </c>
      <c r="AD10" s="33" t="s">
        <v>772</v>
      </c>
      <c r="AE10" s="107">
        <v>0.7</v>
      </c>
      <c r="AF10" s="33" t="s">
        <v>773</v>
      </c>
      <c r="AG10" s="109">
        <v>2.11</v>
      </c>
      <c r="AH10" s="32" t="s">
        <v>856</v>
      </c>
      <c r="AI10" s="34">
        <v>0.34399999999999997</v>
      </c>
    </row>
    <row r="11" spans="1:35" x14ac:dyDescent="0.35">
      <c r="A11" s="156"/>
      <c r="B11" s="204"/>
      <c r="C11" s="206" t="str">
        <f>IF(G10="Yes","Approved Level","")</f>
        <v/>
      </c>
      <c r="D11" s="207"/>
      <c r="E11" s="205"/>
      <c r="F11" s="192"/>
      <c r="G11" s="198"/>
      <c r="H11" s="134"/>
      <c r="I11" s="157"/>
      <c r="J11" s="142"/>
      <c r="K11" s="81"/>
      <c r="L11" s="84"/>
      <c r="M11" s="175"/>
      <c r="N11" s="75"/>
      <c r="O11" s="32"/>
      <c r="P11" s="33" t="s">
        <v>775</v>
      </c>
      <c r="Q11" s="33"/>
      <c r="R11" s="33"/>
      <c r="S11" s="34"/>
      <c r="T11" s="32"/>
      <c r="U11" s="34"/>
      <c r="V11" s="35"/>
      <c r="W11" s="32"/>
      <c r="X11" s="34"/>
      <c r="Y11" s="32" t="s">
        <v>776</v>
      </c>
      <c r="Z11" s="109">
        <v>1.7</v>
      </c>
      <c r="AA11" s="32"/>
      <c r="AB11" s="33" t="s">
        <v>777</v>
      </c>
      <c r="AC11" s="107">
        <v>0.48</v>
      </c>
      <c r="AD11" s="33" t="s">
        <v>778</v>
      </c>
      <c r="AE11" s="107">
        <v>0.79</v>
      </c>
      <c r="AF11" s="33" t="s">
        <v>779</v>
      </c>
      <c r="AG11" s="109">
        <v>1.2</v>
      </c>
      <c r="AH11" s="32"/>
      <c r="AI11" s="34"/>
    </row>
    <row r="12" spans="1:35" x14ac:dyDescent="0.35">
      <c r="A12" s="156"/>
      <c r="B12" s="204"/>
      <c r="C12" s="207"/>
      <c r="D12" s="207"/>
      <c r="E12" s="193"/>
      <c r="F12" s="193"/>
      <c r="G12" s="169"/>
      <c r="H12" s="134"/>
      <c r="I12" s="157"/>
      <c r="J12" s="142"/>
      <c r="K12" s="81"/>
      <c r="L12" s="82" t="s">
        <v>857</v>
      </c>
      <c r="M12" s="175"/>
      <c r="N12" s="75"/>
      <c r="O12" s="32"/>
      <c r="P12" s="33" t="s">
        <v>780</v>
      </c>
      <c r="Q12" s="33"/>
      <c r="R12" s="33"/>
      <c r="S12" s="34"/>
      <c r="T12" s="32"/>
      <c r="U12" s="34"/>
      <c r="V12" s="35"/>
      <c r="W12" s="32"/>
      <c r="X12" s="34"/>
      <c r="Y12" s="32" t="s">
        <v>781</v>
      </c>
      <c r="Z12" s="109">
        <v>1.38</v>
      </c>
      <c r="AA12" s="32"/>
      <c r="AB12" s="33" t="s">
        <v>1081</v>
      </c>
      <c r="AC12" s="107">
        <v>0.45</v>
      </c>
      <c r="AD12" s="33" t="s">
        <v>782</v>
      </c>
      <c r="AE12" s="107">
        <v>1.1200000000000001</v>
      </c>
      <c r="AF12" s="33" t="s">
        <v>783</v>
      </c>
      <c r="AG12" s="109">
        <v>2.42</v>
      </c>
      <c r="AH12" s="32"/>
      <c r="AI12" s="34"/>
    </row>
    <row r="13" spans="1:35" x14ac:dyDescent="0.35">
      <c r="A13" s="156"/>
      <c r="B13" s="204"/>
      <c r="C13" s="206" t="s">
        <v>697</v>
      </c>
      <c r="D13" s="207"/>
      <c r="E13" s="208"/>
      <c r="F13" s="194"/>
      <c r="G13" s="199"/>
      <c r="H13" s="134"/>
      <c r="I13" s="157"/>
      <c r="J13" s="143">
        <f>IFERROR(G13,0)</f>
        <v>0</v>
      </c>
      <c r="K13" s="81"/>
      <c r="L13" s="84" t="s">
        <v>851</v>
      </c>
      <c r="M13" s="175"/>
      <c r="N13" s="75"/>
      <c r="O13" s="32"/>
      <c r="P13" s="33" t="s">
        <v>784</v>
      </c>
      <c r="Q13" s="33"/>
      <c r="R13" s="33"/>
      <c r="S13" s="34"/>
      <c r="T13" s="32"/>
      <c r="U13" s="34"/>
      <c r="V13" s="35"/>
      <c r="W13" s="32"/>
      <c r="X13" s="34"/>
      <c r="Y13" s="32"/>
      <c r="Z13" s="34"/>
      <c r="AA13" s="32"/>
      <c r="AB13" s="33" t="s">
        <v>785</v>
      </c>
      <c r="AC13" s="107">
        <v>0.6</v>
      </c>
      <c r="AD13" s="33" t="s">
        <v>786</v>
      </c>
      <c r="AE13" s="107">
        <v>1.01</v>
      </c>
      <c r="AF13" s="33" t="s">
        <v>787</v>
      </c>
      <c r="AG13" s="109">
        <v>2.44</v>
      </c>
      <c r="AH13" s="32"/>
      <c r="AI13" s="34"/>
    </row>
    <row r="14" spans="1:35" x14ac:dyDescent="0.35">
      <c r="A14" s="156"/>
      <c r="B14" s="204"/>
      <c r="C14" s="206" t="s">
        <v>698</v>
      </c>
      <c r="D14" s="207"/>
      <c r="E14" s="208"/>
      <c r="F14" s="195"/>
      <c r="G14" s="197"/>
      <c r="H14" s="134"/>
      <c r="I14" s="157"/>
      <c r="J14" s="143">
        <f>IFERROR(VLOOKUP(G14,'Trial Pricing Calculator '!Y:Z,2,0),1)</f>
        <v>1</v>
      </c>
      <c r="K14" s="81"/>
      <c r="L14" s="84"/>
      <c r="M14" s="175"/>
      <c r="N14" s="75"/>
      <c r="O14" s="32"/>
      <c r="P14" s="33"/>
      <c r="Q14" s="33"/>
      <c r="R14" s="33"/>
      <c r="S14" s="34"/>
      <c r="T14" s="32"/>
      <c r="U14" s="34"/>
      <c r="V14" s="35"/>
      <c r="W14" s="32"/>
      <c r="X14" s="34"/>
      <c r="Y14" s="32"/>
      <c r="Z14" s="34"/>
      <c r="AA14" s="32"/>
      <c r="AB14" s="33" t="s">
        <v>788</v>
      </c>
      <c r="AC14" s="107">
        <v>0.65</v>
      </c>
      <c r="AD14" s="33" t="s">
        <v>789</v>
      </c>
      <c r="AE14" s="107">
        <v>0.36</v>
      </c>
      <c r="AF14" s="33" t="s">
        <v>790</v>
      </c>
      <c r="AG14" s="109">
        <v>2.4700000000000002</v>
      </c>
      <c r="AH14" s="32"/>
      <c r="AI14" s="34"/>
    </row>
    <row r="15" spans="1:35" x14ac:dyDescent="0.35">
      <c r="A15" s="156"/>
      <c r="B15" s="204"/>
      <c r="C15" s="206" t="s">
        <v>699</v>
      </c>
      <c r="D15" s="207"/>
      <c r="E15" s="209"/>
      <c r="F15" s="196"/>
      <c r="G15" s="200"/>
      <c r="H15" s="134"/>
      <c r="I15" s="157"/>
      <c r="J15" s="143">
        <f>G15*100</f>
        <v>0</v>
      </c>
      <c r="K15" s="81"/>
      <c r="L15" s="82" t="s">
        <v>714</v>
      </c>
      <c r="M15" s="175"/>
      <c r="N15" s="75"/>
      <c r="O15" s="32"/>
      <c r="P15" s="33"/>
      <c r="Q15" s="33"/>
      <c r="R15" s="33"/>
      <c r="S15" s="34"/>
      <c r="T15" s="32"/>
      <c r="U15" s="34"/>
      <c r="V15" s="35"/>
      <c r="W15" s="32"/>
      <c r="X15" s="34"/>
      <c r="Y15" s="32"/>
      <c r="Z15" s="34"/>
      <c r="AA15" s="32"/>
      <c r="AB15" s="33" t="s">
        <v>791</v>
      </c>
      <c r="AC15" s="107">
        <v>1</v>
      </c>
      <c r="AD15" s="33" t="s">
        <v>792</v>
      </c>
      <c r="AE15" s="107">
        <v>0.38</v>
      </c>
      <c r="AF15" s="33" t="s">
        <v>793</v>
      </c>
      <c r="AG15" s="109">
        <v>1.95</v>
      </c>
      <c r="AH15" s="32"/>
      <c r="AI15" s="34"/>
    </row>
    <row r="16" spans="1:35" x14ac:dyDescent="0.35">
      <c r="A16" s="156"/>
      <c r="B16" s="204"/>
      <c r="C16" s="206" t="s">
        <v>1001</v>
      </c>
      <c r="D16" s="207"/>
      <c r="E16" s="210"/>
      <c r="F16" s="195"/>
      <c r="G16" s="197"/>
      <c r="H16" s="134"/>
      <c r="I16" s="157"/>
      <c r="J16" s="143">
        <f>IF(G16=0,0,G16)</f>
        <v>0</v>
      </c>
      <c r="K16" s="81"/>
      <c r="L16" s="84" t="s">
        <v>715</v>
      </c>
      <c r="M16" s="175"/>
      <c r="N16" s="75"/>
      <c r="O16" s="32"/>
      <c r="P16" s="33"/>
      <c r="Q16" s="33"/>
      <c r="R16" s="33"/>
      <c r="S16" s="34"/>
      <c r="T16" s="32"/>
      <c r="U16" s="34"/>
      <c r="V16" s="35"/>
      <c r="W16" s="32"/>
      <c r="X16" s="34"/>
      <c r="Y16" s="32"/>
      <c r="Z16" s="34"/>
      <c r="AA16" s="32"/>
      <c r="AB16" s="33" t="s">
        <v>847</v>
      </c>
      <c r="AC16" s="107">
        <v>0.15</v>
      </c>
      <c r="AD16" s="33" t="s">
        <v>795</v>
      </c>
      <c r="AE16" s="107">
        <v>1.98</v>
      </c>
      <c r="AF16" s="33" t="s">
        <v>796</v>
      </c>
      <c r="AG16" s="109">
        <v>2.25</v>
      </c>
      <c r="AH16" s="32"/>
      <c r="AI16" s="34"/>
    </row>
    <row r="17" spans="1:35" x14ac:dyDescent="0.35">
      <c r="A17" s="156"/>
      <c r="B17" s="204"/>
      <c r="C17" s="206" t="s">
        <v>849</v>
      </c>
      <c r="D17" s="207"/>
      <c r="E17" s="210"/>
      <c r="F17" s="195"/>
      <c r="G17" s="197"/>
      <c r="H17" s="134"/>
      <c r="I17" s="157"/>
      <c r="J17" s="143">
        <f>IF(G18="",G17,SUM(G17*G18))</f>
        <v>0</v>
      </c>
      <c r="K17" s="81"/>
      <c r="L17" s="84"/>
      <c r="M17" s="175"/>
      <c r="N17" s="75"/>
      <c r="O17" s="32"/>
      <c r="P17" s="33"/>
      <c r="Q17" s="33"/>
      <c r="R17" s="33"/>
      <c r="S17" s="34"/>
      <c r="T17" s="32"/>
      <c r="U17" s="34"/>
      <c r="V17" s="35"/>
      <c r="W17" s="32"/>
      <c r="X17" s="34"/>
      <c r="Y17" s="32"/>
      <c r="Z17" s="34"/>
      <c r="AA17" s="32"/>
      <c r="AB17" s="33" t="s">
        <v>797</v>
      </c>
      <c r="AC17" s="107">
        <v>0.15</v>
      </c>
      <c r="AD17" s="33" t="s">
        <v>798</v>
      </c>
      <c r="AE17" s="107">
        <v>1.47</v>
      </c>
      <c r="AF17" s="33" t="s">
        <v>799</v>
      </c>
      <c r="AG17" s="109">
        <v>4.82</v>
      </c>
      <c r="AH17" s="32"/>
      <c r="AI17" s="34"/>
    </row>
    <row r="18" spans="1:35" x14ac:dyDescent="0.35">
      <c r="A18" s="156"/>
      <c r="B18" s="204"/>
      <c r="C18" s="211" t="str">
        <f>IF(OR(G8="Beer",G8="Ready to Drink",G18&lt;&gt;""),"     # of units per Package","")</f>
        <v/>
      </c>
      <c r="D18" s="207"/>
      <c r="E18" s="193"/>
      <c r="F18" s="195"/>
      <c r="G18" s="197"/>
      <c r="H18" s="134"/>
      <c r="I18" s="157"/>
      <c r="J18" s="143">
        <f>J17*1000</f>
        <v>0</v>
      </c>
      <c r="K18" s="81"/>
      <c r="L18" s="82" t="s">
        <v>844</v>
      </c>
      <c r="M18" s="175"/>
      <c r="N18" s="75"/>
      <c r="O18" s="32"/>
      <c r="P18" s="33"/>
      <c r="Q18" s="33"/>
      <c r="R18" s="33"/>
      <c r="S18" s="34"/>
      <c r="T18" s="32"/>
      <c r="U18" s="34"/>
      <c r="V18" s="35"/>
      <c r="W18" s="32"/>
      <c r="X18" s="34"/>
      <c r="Y18" s="32"/>
      <c r="Z18" s="34"/>
      <c r="AA18" s="32"/>
      <c r="AB18" s="33" t="s">
        <v>800</v>
      </c>
      <c r="AC18" s="107">
        <v>0.39</v>
      </c>
      <c r="AD18" s="33" t="s">
        <v>801</v>
      </c>
      <c r="AE18" s="107">
        <v>1.92</v>
      </c>
      <c r="AF18" s="33" t="s">
        <v>802</v>
      </c>
      <c r="AG18" s="109">
        <v>4.2699999999999996</v>
      </c>
      <c r="AH18" s="32"/>
      <c r="AI18" s="34"/>
    </row>
    <row r="19" spans="1:35" x14ac:dyDescent="0.35">
      <c r="A19" s="156"/>
      <c r="B19" s="204"/>
      <c r="C19" s="211" t="str">
        <f>IF(OR(G8="Beer",G8="Ready to Drink",G18&lt;&gt;""),"     Container Type","")</f>
        <v/>
      </c>
      <c r="D19" s="207"/>
      <c r="E19" s="193"/>
      <c r="F19" s="195"/>
      <c r="G19" s="197"/>
      <c r="H19" s="134"/>
      <c r="I19" s="157"/>
      <c r="J19" s="142">
        <f>IFERROR(IF(OR(G18="",G18=0),1,IF(G18&lt;&gt;1,G18)),1)</f>
        <v>1</v>
      </c>
      <c r="K19" s="81"/>
      <c r="L19" s="87" t="s">
        <v>1085</v>
      </c>
      <c r="M19" s="175"/>
      <c r="N19" s="75"/>
      <c r="O19" s="32"/>
      <c r="P19" s="33"/>
      <c r="Q19" s="33"/>
      <c r="R19" s="33"/>
      <c r="S19" s="34"/>
      <c r="T19" s="32"/>
      <c r="U19" s="34"/>
      <c r="V19" s="35"/>
      <c r="W19" s="32"/>
      <c r="X19" s="34"/>
      <c r="Y19" s="32"/>
      <c r="Z19" s="34"/>
      <c r="AA19" s="32"/>
      <c r="AB19" s="33" t="s">
        <v>803</v>
      </c>
      <c r="AC19" s="107">
        <v>1.03</v>
      </c>
      <c r="AD19" s="33" t="s">
        <v>804</v>
      </c>
      <c r="AE19" s="107">
        <v>0.82</v>
      </c>
      <c r="AF19" s="33" t="s">
        <v>805</v>
      </c>
      <c r="AG19" s="109">
        <v>2.15</v>
      </c>
      <c r="AH19" s="32"/>
      <c r="AI19" s="34"/>
    </row>
    <row r="20" spans="1:35" x14ac:dyDescent="0.35">
      <c r="A20" s="156"/>
      <c r="B20" s="204"/>
      <c r="C20" s="206" t="s">
        <v>700</v>
      </c>
      <c r="D20" s="207"/>
      <c r="E20" s="193"/>
      <c r="F20" s="195"/>
      <c r="G20" s="197"/>
      <c r="H20" s="134"/>
      <c r="I20" s="157"/>
      <c r="J20" s="142"/>
      <c r="K20" s="81"/>
      <c r="L20" s="87" t="s">
        <v>1086</v>
      </c>
      <c r="M20" s="175"/>
      <c r="N20" s="75"/>
      <c r="O20" s="32"/>
      <c r="P20" s="33"/>
      <c r="Q20" s="33"/>
      <c r="R20" s="33"/>
      <c r="S20" s="34"/>
      <c r="T20" s="32"/>
      <c r="U20" s="34"/>
      <c r="V20" s="35"/>
      <c r="W20" s="32"/>
      <c r="X20" s="34"/>
      <c r="Y20" s="32"/>
      <c r="Z20" s="34"/>
      <c r="AA20" s="32"/>
      <c r="AB20" s="33" t="s">
        <v>806</v>
      </c>
      <c r="AC20" s="107">
        <v>0.43</v>
      </c>
      <c r="AD20" s="33" t="s">
        <v>807</v>
      </c>
      <c r="AE20" s="107">
        <v>0.52</v>
      </c>
      <c r="AF20" s="33" t="s">
        <v>808</v>
      </c>
      <c r="AG20" s="109">
        <v>1.85</v>
      </c>
      <c r="AH20" s="32"/>
      <c r="AI20" s="34"/>
    </row>
    <row r="21" spans="1:35" x14ac:dyDescent="0.35">
      <c r="A21" s="156"/>
      <c r="B21" s="204"/>
      <c r="C21" s="206" t="s">
        <v>841</v>
      </c>
      <c r="D21" s="207"/>
      <c r="E21" s="193"/>
      <c r="F21" s="195"/>
      <c r="G21" s="201"/>
      <c r="H21" s="134"/>
      <c r="I21" s="157"/>
      <c r="J21" s="144">
        <f>IF(G20="Canada",VLOOKUP(G21,'Trial Pricing Calculator '!AB:AC,2,0),IF(G20="USA",VLOOKUP(G21,'Trial Pricing Calculator '!AD:AE,2,0),IF(G20="International",VLOOKUP(G21,'Trial Pricing Calculator '!AF:AG,2,0),0)))</f>
        <v>0</v>
      </c>
      <c r="K21" s="85"/>
      <c r="L21" s="85"/>
      <c r="M21" s="175"/>
      <c r="N21" s="75"/>
      <c r="O21" s="32"/>
      <c r="P21" s="33"/>
      <c r="Q21" s="33"/>
      <c r="R21" s="33"/>
      <c r="S21" s="34"/>
      <c r="T21" s="32"/>
      <c r="U21" s="34"/>
      <c r="V21" s="35"/>
      <c r="W21" s="32"/>
      <c r="X21" s="34"/>
      <c r="Y21" s="32"/>
      <c r="Z21" s="34"/>
      <c r="AA21" s="32"/>
      <c r="AB21" s="33" t="s">
        <v>809</v>
      </c>
      <c r="AC21" s="107">
        <v>0.43</v>
      </c>
      <c r="AD21" s="33" t="s">
        <v>810</v>
      </c>
      <c r="AE21" s="107">
        <v>1.2</v>
      </c>
      <c r="AF21" s="33" t="s">
        <v>811</v>
      </c>
      <c r="AG21" s="109">
        <v>1.68</v>
      </c>
      <c r="AH21" s="32"/>
      <c r="AI21" s="34"/>
    </row>
    <row r="22" spans="1:35" ht="15.5" x14ac:dyDescent="0.35">
      <c r="A22" s="156"/>
      <c r="B22" s="204"/>
      <c r="C22" s="206" t="s">
        <v>701</v>
      </c>
      <c r="D22" s="212"/>
      <c r="E22" s="193"/>
      <c r="F22" s="195"/>
      <c r="G22" s="197"/>
      <c r="H22" s="134"/>
      <c r="I22" s="157"/>
      <c r="J22" s="142"/>
      <c r="K22" s="80"/>
      <c r="L22" s="123" t="s">
        <v>860</v>
      </c>
      <c r="M22" s="175"/>
      <c r="N22" s="75"/>
      <c r="O22" s="32"/>
      <c r="P22" s="33"/>
      <c r="Q22" s="33"/>
      <c r="R22" s="33"/>
      <c r="S22" s="34"/>
      <c r="T22" s="32"/>
      <c r="U22" s="34"/>
      <c r="V22" s="35"/>
      <c r="W22" s="32"/>
      <c r="X22" s="34"/>
      <c r="Y22" s="32"/>
      <c r="Z22" s="34"/>
      <c r="AA22" s="32"/>
      <c r="AB22" s="33" t="s">
        <v>812</v>
      </c>
      <c r="AC22" s="107">
        <v>0.43</v>
      </c>
      <c r="AD22" s="33" t="s">
        <v>813</v>
      </c>
      <c r="AE22" s="107">
        <v>1.95</v>
      </c>
      <c r="AF22" s="33" t="s">
        <v>814</v>
      </c>
      <c r="AG22" s="109">
        <v>1.68</v>
      </c>
      <c r="AH22" s="32"/>
      <c r="AI22" s="34"/>
    </row>
    <row r="23" spans="1:35" ht="15" customHeight="1" x14ac:dyDescent="0.35">
      <c r="A23" s="156"/>
      <c r="B23" s="204"/>
      <c r="C23" s="213" t="s">
        <v>1076</v>
      </c>
      <c r="D23" s="214"/>
      <c r="E23" s="193"/>
      <c r="F23" s="195"/>
      <c r="G23" s="197"/>
      <c r="H23" s="134"/>
      <c r="I23" s="157"/>
      <c r="J23" s="142"/>
      <c r="K23" s="85"/>
      <c r="L23" s="101" t="s">
        <v>1087</v>
      </c>
      <c r="M23" s="175"/>
      <c r="N23" s="75"/>
      <c r="O23" s="32"/>
      <c r="P23" s="33"/>
      <c r="Q23" s="33"/>
      <c r="R23" s="33"/>
      <c r="S23" s="34"/>
      <c r="T23" s="32"/>
      <c r="U23" s="34"/>
      <c r="V23" s="35"/>
      <c r="W23" s="32"/>
      <c r="X23" s="34"/>
      <c r="Y23" s="32"/>
      <c r="Z23" s="34"/>
      <c r="AA23" s="32"/>
      <c r="AB23" s="33" t="s">
        <v>848</v>
      </c>
      <c r="AC23" s="107">
        <v>0.95</v>
      </c>
      <c r="AD23" s="33" t="s">
        <v>817</v>
      </c>
      <c r="AE23" s="107">
        <v>1.1599999999999999</v>
      </c>
      <c r="AF23" s="33" t="s">
        <v>818</v>
      </c>
      <c r="AG23" s="109">
        <v>2.02</v>
      </c>
      <c r="AH23" s="32"/>
      <c r="AI23" s="34"/>
    </row>
    <row r="24" spans="1:35" x14ac:dyDescent="0.35">
      <c r="A24" s="156"/>
      <c r="B24" s="204"/>
      <c r="C24" s="215"/>
      <c r="D24" s="214"/>
      <c r="E24" s="216"/>
      <c r="F24" s="159"/>
      <c r="G24" s="168"/>
      <c r="H24" s="134"/>
      <c r="I24" s="157"/>
      <c r="J24" s="142"/>
      <c r="K24" s="85"/>
      <c r="L24" s="101" t="s">
        <v>1088</v>
      </c>
      <c r="M24" s="175"/>
      <c r="N24" s="75"/>
      <c r="O24" s="32"/>
      <c r="P24" s="33"/>
      <c r="Q24" s="33"/>
      <c r="R24" s="33"/>
      <c r="S24" s="34"/>
      <c r="T24" s="32"/>
      <c r="U24" s="34"/>
      <c r="V24" s="35"/>
      <c r="W24" s="32"/>
      <c r="X24" s="34"/>
      <c r="Y24" s="32"/>
      <c r="Z24" s="34"/>
      <c r="AA24" s="32"/>
      <c r="AB24" s="33" t="s">
        <v>819</v>
      </c>
      <c r="AC24" s="107">
        <v>1.34</v>
      </c>
      <c r="AD24" s="33" t="s">
        <v>820</v>
      </c>
      <c r="AE24" s="107">
        <v>0</v>
      </c>
      <c r="AF24" s="33" t="s">
        <v>821</v>
      </c>
      <c r="AG24" s="109">
        <v>1.47</v>
      </c>
      <c r="AH24" s="32"/>
      <c r="AI24" s="34"/>
    </row>
    <row r="25" spans="1:35" x14ac:dyDescent="0.35">
      <c r="A25" s="156"/>
      <c r="B25" s="217"/>
      <c r="C25" s="218"/>
      <c r="D25" s="218"/>
      <c r="E25" s="218"/>
      <c r="F25" s="171"/>
      <c r="G25" s="170"/>
      <c r="H25" s="135"/>
      <c r="I25" s="157"/>
      <c r="J25" s="142"/>
      <c r="K25" s="85"/>
      <c r="L25" s="101" t="s">
        <v>1089</v>
      </c>
      <c r="M25" s="175"/>
      <c r="N25" s="75"/>
      <c r="O25" s="32"/>
      <c r="P25" s="33"/>
      <c r="Q25" s="33"/>
      <c r="R25" s="33"/>
      <c r="S25" s="34"/>
      <c r="T25" s="32"/>
      <c r="U25" s="34"/>
      <c r="V25" s="35"/>
      <c r="W25" s="32"/>
      <c r="X25" s="34"/>
      <c r="Y25" s="32"/>
      <c r="Z25" s="34"/>
      <c r="AA25" s="32"/>
      <c r="AB25" s="33" t="s">
        <v>822</v>
      </c>
      <c r="AC25" s="107">
        <v>0</v>
      </c>
      <c r="AD25" s="33"/>
      <c r="AE25" s="107"/>
      <c r="AF25" s="33" t="s">
        <v>823</v>
      </c>
      <c r="AG25" s="109">
        <v>2.23</v>
      </c>
      <c r="AH25" s="32"/>
      <c r="AI25" s="34"/>
    </row>
    <row r="26" spans="1:35" x14ac:dyDescent="0.35">
      <c r="A26" s="156"/>
      <c r="B26" s="153"/>
      <c r="C26" s="77"/>
      <c r="D26" s="77"/>
      <c r="E26" s="77"/>
      <c r="F26" s="77"/>
      <c r="G26" s="77"/>
      <c r="H26" s="151"/>
      <c r="I26" s="157"/>
      <c r="J26" s="142"/>
      <c r="K26" s="85"/>
      <c r="L26" s="103" t="s">
        <v>1090</v>
      </c>
      <c r="M26" s="175"/>
      <c r="N26" s="75"/>
      <c r="O26" s="32"/>
      <c r="P26" s="33"/>
      <c r="Q26" s="33"/>
      <c r="R26" s="33"/>
      <c r="S26" s="34"/>
      <c r="T26" s="32"/>
      <c r="U26" s="34"/>
      <c r="V26" s="35"/>
      <c r="W26" s="32"/>
      <c r="X26" s="34"/>
      <c r="Y26" s="32"/>
      <c r="Z26" s="34"/>
      <c r="AA26" s="32"/>
      <c r="AB26" s="33" t="s">
        <v>820</v>
      </c>
      <c r="AC26" s="107">
        <v>0</v>
      </c>
      <c r="AD26" s="33"/>
      <c r="AE26" s="107"/>
      <c r="AF26" s="33" t="s">
        <v>826</v>
      </c>
      <c r="AG26" s="109">
        <v>1.8</v>
      </c>
      <c r="AH26" s="32"/>
      <c r="AI26" s="34"/>
    </row>
    <row r="27" spans="1:35" ht="21" x14ac:dyDescent="0.5">
      <c r="A27" s="156"/>
      <c r="B27" s="231" t="s">
        <v>702</v>
      </c>
      <c r="C27" s="232"/>
      <c r="D27" s="232"/>
      <c r="E27" s="232"/>
      <c r="F27" s="232"/>
      <c r="G27" s="232"/>
      <c r="H27" s="233"/>
      <c r="I27" s="157"/>
      <c r="J27" s="142"/>
      <c r="K27" s="85"/>
      <c r="L27" s="85"/>
      <c r="M27" s="175"/>
      <c r="N27" s="75"/>
      <c r="O27" s="32"/>
      <c r="P27" s="33"/>
      <c r="Q27" s="33"/>
      <c r="R27" s="33"/>
      <c r="S27" s="34"/>
      <c r="T27" s="32"/>
      <c r="U27" s="34"/>
      <c r="V27" s="35"/>
      <c r="W27" s="32"/>
      <c r="X27" s="34"/>
      <c r="Y27" s="32"/>
      <c r="Z27" s="34"/>
      <c r="AA27" s="32"/>
      <c r="AB27" s="33"/>
      <c r="AC27" s="107"/>
      <c r="AD27" s="33"/>
      <c r="AE27" s="107"/>
      <c r="AF27" s="33" t="s">
        <v>827</v>
      </c>
      <c r="AG27" s="109">
        <v>2.27</v>
      </c>
      <c r="AH27" s="32"/>
      <c r="AI27" s="34"/>
    </row>
    <row r="28" spans="1:35" ht="15.5" x14ac:dyDescent="0.35">
      <c r="A28" s="156"/>
      <c r="B28" s="136"/>
      <c r="C28" s="124"/>
      <c r="D28" s="124"/>
      <c r="E28" s="124"/>
      <c r="F28" s="124"/>
      <c r="G28" s="124"/>
      <c r="H28" s="137"/>
      <c r="I28" s="157"/>
      <c r="J28" s="142"/>
      <c r="K28" s="176"/>
      <c r="L28" s="184" t="s">
        <v>716</v>
      </c>
      <c r="M28" s="175"/>
      <c r="N28" s="75"/>
      <c r="O28" s="32"/>
      <c r="P28" s="33"/>
      <c r="Q28" s="33"/>
      <c r="R28" s="33"/>
      <c r="S28" s="34"/>
      <c r="T28" s="32"/>
      <c r="U28" s="34"/>
      <c r="V28" s="35"/>
      <c r="W28" s="32"/>
      <c r="X28" s="34"/>
      <c r="Y28" s="32"/>
      <c r="Z28" s="34"/>
      <c r="AA28" s="32"/>
      <c r="AB28" s="33"/>
      <c r="AC28" s="107"/>
      <c r="AD28" s="33"/>
      <c r="AE28" s="107"/>
      <c r="AF28" s="33" t="s">
        <v>828</v>
      </c>
      <c r="AG28" s="109">
        <v>2.4900000000000002</v>
      </c>
      <c r="AH28" s="32"/>
      <c r="AI28" s="34"/>
    </row>
    <row r="29" spans="1:35" x14ac:dyDescent="0.35">
      <c r="A29" s="156"/>
      <c r="B29" s="136"/>
      <c r="C29" s="126" t="s">
        <v>703</v>
      </c>
      <c r="D29" s="125"/>
      <c r="E29" s="124"/>
      <c r="F29" s="160"/>
      <c r="G29" s="202" t="str">
        <f>IFERROR(SUM(J13/J16)*J14,"0.0000")</f>
        <v>0.0000</v>
      </c>
      <c r="H29" s="137"/>
      <c r="I29" s="157"/>
      <c r="J29" s="145" t="s">
        <v>840</v>
      </c>
      <c r="K29" s="177"/>
      <c r="L29" s="185" t="s">
        <v>717</v>
      </c>
      <c r="M29" s="175"/>
      <c r="N29" s="75"/>
      <c r="O29" s="32"/>
      <c r="P29" s="33"/>
      <c r="Q29" s="33"/>
      <c r="R29" s="33"/>
      <c r="S29" s="34"/>
      <c r="T29" s="32"/>
      <c r="U29" s="34"/>
      <c r="V29" s="35"/>
      <c r="W29" s="32"/>
      <c r="X29" s="34"/>
      <c r="Y29" s="32"/>
      <c r="Z29" s="34"/>
      <c r="AA29" s="32"/>
      <c r="AB29" s="33"/>
      <c r="AC29" s="107"/>
      <c r="AD29" s="33"/>
      <c r="AE29" s="107"/>
      <c r="AF29" s="33" t="s">
        <v>829</v>
      </c>
      <c r="AG29" s="109">
        <v>2</v>
      </c>
      <c r="AH29" s="32"/>
      <c r="AI29" s="34"/>
    </row>
    <row r="30" spans="1:35" x14ac:dyDescent="0.35">
      <c r="A30" s="156"/>
      <c r="B30" s="136"/>
      <c r="C30" s="126" t="s">
        <v>704</v>
      </c>
      <c r="D30" s="125"/>
      <c r="E30" s="124"/>
      <c r="F30" s="160"/>
      <c r="G30" s="202">
        <f>IFERROR(SUM(J21*J17),"0.0000")</f>
        <v>0</v>
      </c>
      <c r="H30" s="137"/>
      <c r="I30" s="157"/>
      <c r="J30" s="143">
        <f>IF(G38="",SUM(G29+G30+G31+G32),SUM(G29+G30+G31+G32+G38))</f>
        <v>0</v>
      </c>
      <c r="K30" s="177"/>
      <c r="L30" s="185" t="s">
        <v>859</v>
      </c>
      <c r="M30" s="175"/>
      <c r="N30" s="75"/>
      <c r="O30" s="32"/>
      <c r="P30" s="33"/>
      <c r="Q30" s="33"/>
      <c r="R30" s="33"/>
      <c r="S30" s="34"/>
      <c r="T30" s="32"/>
      <c r="U30" s="34"/>
      <c r="V30" s="35"/>
      <c r="W30" s="32"/>
      <c r="X30" s="34"/>
      <c r="Y30" s="32"/>
      <c r="Z30" s="34"/>
      <c r="AA30" s="32"/>
      <c r="AB30" s="33"/>
      <c r="AC30" s="107"/>
      <c r="AD30" s="33"/>
      <c r="AE30" s="107"/>
      <c r="AF30" s="33" t="s">
        <v>830</v>
      </c>
      <c r="AG30" s="109">
        <v>2.09</v>
      </c>
      <c r="AH30" s="32"/>
      <c r="AI30" s="34"/>
    </row>
    <row r="31" spans="1:35" x14ac:dyDescent="0.35">
      <c r="A31" s="156"/>
      <c r="B31" s="136"/>
      <c r="C31" s="126" t="s">
        <v>705</v>
      </c>
      <c r="D31" s="125"/>
      <c r="E31" s="124"/>
      <c r="F31" s="160"/>
      <c r="G31" s="202">
        <f>(IF(G8="Spirit",Calculations!A4,IF(G8="Wine",Calculations!B4,IF(G8="Ready to Drink",Calculations!C4,IF(G8="Beer",Calculations!D4,0)))))</f>
        <v>0</v>
      </c>
      <c r="H31" s="137"/>
      <c r="I31" s="157"/>
      <c r="J31" s="142"/>
      <c r="K31" s="177"/>
      <c r="L31" s="186" t="s">
        <v>842</v>
      </c>
      <c r="M31" s="175"/>
      <c r="N31" s="75"/>
      <c r="O31" s="32"/>
      <c r="P31" s="33"/>
      <c r="Q31" s="33"/>
      <c r="R31" s="33"/>
      <c r="S31" s="34"/>
      <c r="T31" s="32"/>
      <c r="U31" s="34"/>
      <c r="V31" s="35"/>
      <c r="W31" s="32"/>
      <c r="X31" s="34"/>
      <c r="Y31" s="32"/>
      <c r="Z31" s="34"/>
      <c r="AA31" s="32"/>
      <c r="AB31" s="33"/>
      <c r="AC31" s="107"/>
      <c r="AD31" s="33"/>
      <c r="AE31" s="107"/>
      <c r="AF31" s="33" t="s">
        <v>831</v>
      </c>
      <c r="AG31" s="109">
        <v>2.82</v>
      </c>
      <c r="AH31" s="32"/>
      <c r="AI31" s="34"/>
    </row>
    <row r="32" spans="1:35" x14ac:dyDescent="0.35">
      <c r="A32" s="156"/>
      <c r="B32" s="136"/>
      <c r="C32" s="126" t="s">
        <v>706</v>
      </c>
      <c r="D32" s="125"/>
      <c r="E32" s="124"/>
      <c r="F32" s="160"/>
      <c r="G32" s="202">
        <f>(IF(G8="Spirit",Calculations!A7,IF(G8="Wine",Calculations!B7,IF(G8="Ready to Drink",Calculations!C7,IF(G8="Beer",Calculations!D7,0)))))</f>
        <v>0</v>
      </c>
      <c r="H32" s="137"/>
      <c r="I32" s="157"/>
      <c r="J32" s="142"/>
      <c r="K32" s="177"/>
      <c r="L32" s="185" t="s">
        <v>718</v>
      </c>
      <c r="M32" s="175"/>
      <c r="N32" s="75"/>
      <c r="O32" s="32"/>
      <c r="P32" s="33"/>
      <c r="Q32" s="33"/>
      <c r="R32" s="33"/>
      <c r="S32" s="34"/>
      <c r="T32" s="32"/>
      <c r="U32" s="34"/>
      <c r="V32" s="35"/>
      <c r="W32" s="32"/>
      <c r="X32" s="34"/>
      <c r="Y32" s="32"/>
      <c r="Z32" s="34"/>
      <c r="AA32" s="32"/>
      <c r="AB32" s="33"/>
      <c r="AC32" s="107"/>
      <c r="AD32" s="33"/>
      <c r="AE32" s="107"/>
      <c r="AF32" s="33" t="s">
        <v>832</v>
      </c>
      <c r="AG32" s="109">
        <v>1.78</v>
      </c>
      <c r="AH32" s="32"/>
      <c r="AI32" s="34"/>
    </row>
    <row r="33" spans="1:35" x14ac:dyDescent="0.35">
      <c r="A33" s="156"/>
      <c r="B33" s="136"/>
      <c r="C33" s="126"/>
      <c r="D33" s="125"/>
      <c r="E33" s="124"/>
      <c r="F33" s="162"/>
      <c r="G33" s="202"/>
      <c r="H33" s="137"/>
      <c r="I33" s="157"/>
      <c r="J33" s="142"/>
      <c r="K33" s="177"/>
      <c r="L33" s="186" t="s">
        <v>858</v>
      </c>
      <c r="M33" s="175"/>
      <c r="N33" s="75"/>
      <c r="O33" s="32"/>
      <c r="P33" s="33"/>
      <c r="Q33" s="33"/>
      <c r="R33" s="33"/>
      <c r="S33" s="34"/>
      <c r="T33" s="32"/>
      <c r="U33" s="34"/>
      <c r="V33" s="35"/>
      <c r="W33" s="32"/>
      <c r="X33" s="34"/>
      <c r="Y33" s="32"/>
      <c r="Z33" s="34"/>
      <c r="AA33" s="32"/>
      <c r="AB33" s="33"/>
      <c r="AC33" s="107"/>
      <c r="AD33" s="33"/>
      <c r="AE33" s="107"/>
      <c r="AF33" s="33" t="s">
        <v>833</v>
      </c>
      <c r="AG33" s="109">
        <v>1.69</v>
      </c>
      <c r="AH33" s="32"/>
      <c r="AI33" s="34"/>
    </row>
    <row r="34" spans="1:35" x14ac:dyDescent="0.35">
      <c r="A34" s="156"/>
      <c r="B34" s="136"/>
      <c r="C34" s="126" t="s">
        <v>707</v>
      </c>
      <c r="D34" s="125"/>
      <c r="E34" s="124"/>
      <c r="F34" s="160"/>
      <c r="G34" s="202">
        <f>(IF(G8="Spirit",Calculations!A10,IF(G8="Wine",Calculations!B10,IF(G8="Ready to Drink",Calculations!C10,IF(G8="Beer",Calculations!D10,0)))))</f>
        <v>0</v>
      </c>
      <c r="H34" s="137"/>
      <c r="I34" s="157"/>
      <c r="J34" s="142"/>
      <c r="K34" s="177"/>
      <c r="L34" s="186" t="s">
        <v>719</v>
      </c>
      <c r="M34" s="175"/>
      <c r="N34" s="75"/>
      <c r="O34" s="32"/>
      <c r="P34" s="33"/>
      <c r="Q34" s="33"/>
      <c r="R34" s="33"/>
      <c r="S34" s="34"/>
      <c r="T34" s="32"/>
      <c r="U34" s="34"/>
      <c r="V34" s="35"/>
      <c r="W34" s="32"/>
      <c r="X34" s="34"/>
      <c r="Y34" s="32"/>
      <c r="Z34" s="34"/>
      <c r="AA34" s="32"/>
      <c r="AB34" s="33"/>
      <c r="AC34" s="107"/>
      <c r="AD34" s="33"/>
      <c r="AE34" s="107"/>
      <c r="AF34" s="33" t="s">
        <v>834</v>
      </c>
      <c r="AG34" s="109">
        <v>1.85</v>
      </c>
      <c r="AH34" s="32"/>
      <c r="AI34" s="34"/>
    </row>
    <row r="35" spans="1:35" x14ac:dyDescent="0.35">
      <c r="A35" s="156"/>
      <c r="B35" s="136"/>
      <c r="C35" s="126" t="s">
        <v>708</v>
      </c>
      <c r="D35" s="125"/>
      <c r="E35" s="124"/>
      <c r="F35" s="160"/>
      <c r="G35" s="202">
        <f>(IF(G8="Spirit",Calculations!A13,IF(G8="Wine",Calculations!B13,IF(G8="Ready to Drink",Calculations!C13,IF(G8="Beer",Calculations!D13,0)))))</f>
        <v>0</v>
      </c>
      <c r="H35" s="137"/>
      <c r="I35" s="157"/>
      <c r="J35" s="142"/>
      <c r="K35" s="177"/>
      <c r="L35" s="186" t="s">
        <v>850</v>
      </c>
      <c r="M35" s="175"/>
      <c r="N35" s="75"/>
      <c r="O35" s="32"/>
      <c r="P35" s="33"/>
      <c r="Q35" s="33"/>
      <c r="R35" s="33"/>
      <c r="S35" s="34"/>
      <c r="T35" s="32"/>
      <c r="U35" s="34"/>
      <c r="V35" s="35"/>
      <c r="W35" s="32"/>
      <c r="X35" s="34"/>
      <c r="Y35" s="32"/>
      <c r="Z35" s="34"/>
      <c r="AA35" s="32"/>
      <c r="AB35" s="33"/>
      <c r="AC35" s="107"/>
      <c r="AD35" s="33"/>
      <c r="AE35" s="107"/>
      <c r="AF35" s="33" t="s">
        <v>835</v>
      </c>
      <c r="AG35" s="109">
        <v>3.42</v>
      </c>
      <c r="AH35" s="32"/>
      <c r="AI35" s="34"/>
    </row>
    <row r="36" spans="1:35" x14ac:dyDescent="0.35">
      <c r="A36" s="156"/>
      <c r="B36" s="136"/>
      <c r="C36" s="126" t="s">
        <v>836</v>
      </c>
      <c r="D36" s="125"/>
      <c r="E36" s="124"/>
      <c r="F36" s="160"/>
      <c r="G36" s="202">
        <f>(IF(G8="Spirit",Calculations!A16,IF(G8="Wine",Calculations!B16,IF(G8="Ready to Drink",Calculations!C16,IF(G8="Beer",Calculations!D16,0)))))</f>
        <v>0</v>
      </c>
      <c r="H36" s="137"/>
      <c r="I36" s="157"/>
      <c r="J36" s="172" t="s">
        <v>843</v>
      </c>
      <c r="K36" s="177"/>
      <c r="L36" s="185" t="s">
        <v>720</v>
      </c>
      <c r="M36" s="175"/>
      <c r="N36" s="75"/>
      <c r="O36" s="37"/>
      <c r="P36" s="68"/>
      <c r="Q36" s="68"/>
      <c r="R36" s="68"/>
      <c r="S36" s="47"/>
      <c r="T36" s="37"/>
      <c r="U36" s="47"/>
      <c r="V36" s="36"/>
      <c r="W36" s="37"/>
      <c r="X36" s="47"/>
      <c r="Y36" s="37"/>
      <c r="Z36" s="47"/>
      <c r="AA36" s="37"/>
      <c r="AB36" s="68"/>
      <c r="AC36" s="108"/>
      <c r="AD36" s="68"/>
      <c r="AE36" s="108"/>
      <c r="AF36" s="68" t="s">
        <v>820</v>
      </c>
      <c r="AG36" s="110">
        <v>0</v>
      </c>
      <c r="AH36" s="68"/>
      <c r="AI36" s="47"/>
    </row>
    <row r="37" spans="1:35" x14ac:dyDescent="0.35">
      <c r="A37" s="156"/>
      <c r="B37" s="136"/>
      <c r="C37" s="126" t="s">
        <v>709</v>
      </c>
      <c r="D37" s="125"/>
      <c r="E37" s="124"/>
      <c r="F37" s="160"/>
      <c r="G37" s="202">
        <f>(IF(G8="Spirit",Calculations!A19,IF(G8="Wine",Calculations!B19,IF(G8="Ready to Drink",Calculations!C19,IF(G8="Beer",Calculations!D19,0)))))</f>
        <v>0</v>
      </c>
      <c r="H37" s="137"/>
      <c r="I37" s="157"/>
      <c r="J37" s="173">
        <f>IF(C38="",SUM(G29:G38),SUM(G29:G38))</f>
        <v>0</v>
      </c>
      <c r="K37" s="177"/>
      <c r="L37" s="186"/>
      <c r="M37" s="175"/>
      <c r="N37" s="75"/>
      <c r="O37" s="86"/>
      <c r="P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5" x14ac:dyDescent="0.35">
      <c r="A38" s="156"/>
      <c r="B38" s="136"/>
      <c r="C38" s="126" t="str">
        <f>IF(G8="Beer","MBLL Dist. Beer Extra Charge","")</f>
        <v/>
      </c>
      <c r="D38" s="125"/>
      <c r="E38" s="124"/>
      <c r="F38" s="162"/>
      <c r="G38" s="161" t="str">
        <f>IF(C38="","",IF(G19="Can",(0.0458*G18),IF(G19="Bottle",(Calculations!J28/24*G18),"0.0000")))</f>
        <v/>
      </c>
      <c r="H38" s="137"/>
      <c r="I38" s="157"/>
      <c r="J38" s="142"/>
      <c r="K38" s="177"/>
      <c r="L38" s="186"/>
      <c r="M38" s="175"/>
      <c r="N38" s="75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1:35" x14ac:dyDescent="0.35">
      <c r="A39" s="156"/>
      <c r="B39" s="138"/>
      <c r="C39" s="139"/>
      <c r="D39" s="139"/>
      <c r="E39" s="139"/>
      <c r="F39" s="139"/>
      <c r="G39" s="139"/>
      <c r="H39" s="140"/>
      <c r="I39" s="158"/>
      <c r="J39" s="142"/>
      <c r="K39" s="177"/>
      <c r="L39" s="186"/>
      <c r="M39" s="175"/>
      <c r="N39" s="75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</row>
    <row r="40" spans="1:35" x14ac:dyDescent="0.35">
      <c r="A40" s="156"/>
      <c r="B40" s="153"/>
      <c r="C40" s="133"/>
      <c r="D40" s="77"/>
      <c r="E40" s="133"/>
      <c r="F40" s="133"/>
      <c r="G40" s="77"/>
      <c r="H40" s="151"/>
      <c r="I40" s="157"/>
      <c r="J40" s="142"/>
      <c r="K40" s="177"/>
      <c r="L40" s="186"/>
      <c r="M40" s="175"/>
      <c r="N40" s="75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</row>
    <row r="41" spans="1:35" ht="25.5" customHeight="1" x14ac:dyDescent="0.4">
      <c r="A41" s="156"/>
      <c r="B41" s="163"/>
      <c r="C41" s="203" t="s">
        <v>1082</v>
      </c>
      <c r="D41" s="165"/>
      <c r="E41" s="164"/>
      <c r="F41" s="164"/>
      <c r="G41" s="272">
        <f>J37</f>
        <v>0</v>
      </c>
      <c r="H41" s="166"/>
      <c r="I41" s="157"/>
      <c r="J41" s="142"/>
      <c r="K41" s="177"/>
      <c r="L41" s="186"/>
      <c r="M41" s="175"/>
      <c r="N41" s="75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</row>
    <row r="42" spans="1:35" ht="21" customHeight="1" x14ac:dyDescent="0.35">
      <c r="A42" s="156"/>
      <c r="B42" s="266"/>
      <c r="C42" s="267" t="s">
        <v>1002</v>
      </c>
      <c r="D42" s="268"/>
      <c r="E42" s="268"/>
      <c r="F42" s="269"/>
      <c r="G42" s="270">
        <f>IFERROR(IF(G8="Spirit",Calculations!G22,IF(G8="Wine",Calculations!H22,IF(G8="Ready to Drink",Calculations!I22,IF(G8="Beer",Calculations!J22,0)))),0)</f>
        <v>0</v>
      </c>
      <c r="H42" s="271"/>
      <c r="I42" s="157"/>
      <c r="J42" s="174"/>
      <c r="K42" s="177"/>
      <c r="L42" s="186"/>
      <c r="M42" s="182"/>
      <c r="N42" s="128"/>
      <c r="O42" s="79"/>
      <c r="P42" s="79"/>
      <c r="Q42" s="79"/>
      <c r="R42" s="79"/>
      <c r="S42" s="129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</row>
    <row r="43" spans="1:35" x14ac:dyDescent="0.35">
      <c r="A43" s="148"/>
      <c r="B43" s="149"/>
      <c r="C43" s="149"/>
      <c r="D43" s="149"/>
      <c r="E43" s="149"/>
      <c r="F43" s="149"/>
      <c r="G43" s="149"/>
      <c r="H43" s="149"/>
      <c r="I43" s="147"/>
      <c r="J43" s="131"/>
      <c r="K43" s="178"/>
      <c r="L43" s="187"/>
      <c r="M43" s="183"/>
      <c r="N43" s="132">
        <v>45474</v>
      </c>
      <c r="O43" s="130" t="s">
        <v>845</v>
      </c>
      <c r="P43" s="130"/>
      <c r="Q43" s="130"/>
      <c r="R43" s="130"/>
      <c r="S43" s="33"/>
      <c r="T43" s="127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</row>
    <row r="44" spans="1:35" hidden="1" x14ac:dyDescent="0.35">
      <c r="A44" s="76"/>
      <c r="B44" s="76"/>
      <c r="C44" s="76"/>
      <c r="D44" s="76"/>
      <c r="E44" s="76"/>
      <c r="F44" s="76"/>
      <c r="G44" s="76"/>
      <c r="H44" s="76"/>
      <c r="I44" s="116"/>
      <c r="J44" s="116"/>
      <c r="K44" s="116"/>
      <c r="L44" s="116"/>
      <c r="M44" s="76"/>
      <c r="N44" s="76"/>
      <c r="O44" s="76"/>
      <c r="P44" s="76"/>
      <c r="Q44" s="76"/>
      <c r="R44" s="76"/>
      <c r="S44" s="86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5" hidden="1" x14ac:dyDescent="0.35"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5" hidden="1" x14ac:dyDescent="0.35"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</row>
    <row r="47" spans="1:35" hidden="1" x14ac:dyDescent="0.35"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</row>
    <row r="48" spans="1:35" hidden="1" x14ac:dyDescent="0.35"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</row>
    <row r="49" spans="15:33" hidden="1" x14ac:dyDescent="0.35"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</row>
    <row r="50" spans="15:33" hidden="1" x14ac:dyDescent="0.35"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</row>
    <row r="51" spans="15:33" hidden="1" x14ac:dyDescent="0.35"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2" spans="15:33" hidden="1" x14ac:dyDescent="0.35">
      <c r="Q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</row>
    <row r="53" spans="15:33" hidden="1" x14ac:dyDescent="0.35"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</row>
    <row r="54" spans="15:33" hidden="1" x14ac:dyDescent="0.35"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</row>
    <row r="55" spans="15:33" hidden="1" x14ac:dyDescent="0.35"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</row>
    <row r="56" spans="15:33" hidden="1" x14ac:dyDescent="0.35"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5:33" hidden="1" x14ac:dyDescent="0.35"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5:33" hidden="1" x14ac:dyDescent="0.35"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5:33" hidden="1" x14ac:dyDescent="0.35"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5:33" hidden="1" x14ac:dyDescent="0.35"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5:33" hidden="1" x14ac:dyDescent="0.35"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</row>
    <row r="62" spans="15:33" hidden="1" x14ac:dyDescent="0.35"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5:33" hidden="1" x14ac:dyDescent="0.35"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</row>
    <row r="64" spans="15:33" hidden="1" x14ac:dyDescent="0.35"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</row>
    <row r="65" spans="15:33" hidden="1" x14ac:dyDescent="0.35"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</row>
    <row r="66" spans="15:33" hidden="1" x14ac:dyDescent="0.35"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</row>
    <row r="67" spans="15:33" hidden="1" x14ac:dyDescent="0.35"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5:33" hidden="1" x14ac:dyDescent="0.35"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5:33" hidden="1" x14ac:dyDescent="0.35"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5:33" hidden="1" x14ac:dyDescent="0.35"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</row>
    <row r="71" spans="15:33" hidden="1" x14ac:dyDescent="0.35"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</row>
    <row r="72" spans="15:33" hidden="1" x14ac:dyDescent="0.35"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</row>
    <row r="73" spans="15:33" hidden="1" x14ac:dyDescent="0.35"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</row>
    <row r="74" spans="15:33" hidden="1" x14ac:dyDescent="0.35"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</row>
    <row r="75" spans="15:33" hidden="1" x14ac:dyDescent="0.35"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15:33" hidden="1" x14ac:dyDescent="0.35"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</row>
    <row r="77" spans="15:33" hidden="1" x14ac:dyDescent="0.35"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  <row r="78" spans="15:33" hidden="1" x14ac:dyDescent="0.35"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</row>
    <row r="79" spans="15:33" hidden="1" x14ac:dyDescent="0.35"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</row>
    <row r="80" spans="15:33" hidden="1" x14ac:dyDescent="0.35"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</row>
    <row r="81" spans="15:33" hidden="1" x14ac:dyDescent="0.35"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</row>
    <row r="82" spans="15:33" hidden="1" x14ac:dyDescent="0.35"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</row>
    <row r="83" spans="15:33" hidden="1" x14ac:dyDescent="0.35"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</row>
    <row r="84" spans="15:33" hidden="1" x14ac:dyDescent="0.35"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</row>
    <row r="85" spans="15:33" hidden="1" x14ac:dyDescent="0.35"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</row>
    <row r="86" spans="15:33" hidden="1" x14ac:dyDescent="0.35"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</row>
    <row r="87" spans="15:33" hidden="1" x14ac:dyDescent="0.35"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</row>
    <row r="88" spans="15:33" hidden="1" x14ac:dyDescent="0.35"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</row>
    <row r="89" spans="15:33" hidden="1" x14ac:dyDescent="0.35"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</row>
    <row r="90" spans="15:33" hidden="1" x14ac:dyDescent="0.35"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</row>
    <row r="91" spans="15:33" hidden="1" x14ac:dyDescent="0.35"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</row>
    <row r="92" spans="15:33" hidden="1" x14ac:dyDescent="0.35"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</row>
    <row r="93" spans="15:33" hidden="1" x14ac:dyDescent="0.35"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</row>
    <row r="94" spans="15:33" hidden="1" x14ac:dyDescent="0.35"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</row>
    <row r="95" spans="15:33" hidden="1" x14ac:dyDescent="0.35"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</row>
    <row r="96" spans="15:33" hidden="1" x14ac:dyDescent="0.35"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</row>
    <row r="97" spans="15:33" hidden="1" x14ac:dyDescent="0.35"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</row>
    <row r="98" spans="15:33" hidden="1" x14ac:dyDescent="0.35"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</row>
    <row r="99" spans="15:33" hidden="1" x14ac:dyDescent="0.35"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</row>
    <row r="100" spans="15:33" hidden="1" x14ac:dyDescent="0.35"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</row>
    <row r="101" spans="15:33" hidden="1" x14ac:dyDescent="0.35"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</row>
    <row r="102" spans="15:33" hidden="1" x14ac:dyDescent="0.35"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</row>
    <row r="103" spans="15:33" hidden="1" x14ac:dyDescent="0.35"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</row>
    <row r="104" spans="15:33" hidden="1" x14ac:dyDescent="0.35"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</row>
    <row r="105" spans="15:33" hidden="1" x14ac:dyDescent="0.35"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</row>
    <row r="106" spans="15:33" hidden="1" x14ac:dyDescent="0.35"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</row>
    <row r="107" spans="15:33" hidden="1" x14ac:dyDescent="0.35"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</row>
    <row r="108" spans="15:33" hidden="1" x14ac:dyDescent="0.35"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</row>
    <row r="109" spans="15:33" hidden="1" x14ac:dyDescent="0.35"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</row>
    <row r="110" spans="15:33" hidden="1" x14ac:dyDescent="0.35"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</row>
    <row r="111" spans="15:33" hidden="1" x14ac:dyDescent="0.35"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</row>
    <row r="112" spans="15:33" hidden="1" x14ac:dyDescent="0.35"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</row>
    <row r="113" spans="15:33" hidden="1" x14ac:dyDescent="0.35"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</row>
    <row r="114" spans="15:33" hidden="1" x14ac:dyDescent="0.35"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</row>
    <row r="115" spans="15:33" hidden="1" x14ac:dyDescent="0.35"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</row>
    <row r="116" spans="15:33" hidden="1" x14ac:dyDescent="0.35"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</row>
    <row r="117" spans="15:33" hidden="1" x14ac:dyDescent="0.35"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</row>
    <row r="118" spans="15:33" hidden="1" x14ac:dyDescent="0.35"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</row>
    <row r="119" spans="15:33" hidden="1" x14ac:dyDescent="0.35"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</row>
    <row r="120" spans="15:33" hidden="1" x14ac:dyDescent="0.35"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</row>
    <row r="121" spans="15:33" hidden="1" x14ac:dyDescent="0.35"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</row>
    <row r="122" spans="15:33" hidden="1" x14ac:dyDescent="0.35"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</row>
    <row r="123" spans="15:33" hidden="1" x14ac:dyDescent="0.35"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</row>
    <row r="124" spans="15:33" hidden="1" x14ac:dyDescent="0.35"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</row>
    <row r="125" spans="15:33" hidden="1" x14ac:dyDescent="0.35"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</row>
    <row r="126" spans="15:33" hidden="1" x14ac:dyDescent="0.35"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</row>
    <row r="127" spans="15:33" hidden="1" x14ac:dyDescent="0.35"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</row>
    <row r="128" spans="15:33" hidden="1" x14ac:dyDescent="0.35"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</row>
    <row r="129" spans="15:33" hidden="1" x14ac:dyDescent="0.35"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</row>
    <row r="130" spans="15:33" hidden="1" x14ac:dyDescent="0.35"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</row>
    <row r="131" spans="15:33" hidden="1" x14ac:dyDescent="0.35"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</row>
    <row r="132" spans="15:33" hidden="1" x14ac:dyDescent="0.35"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</row>
    <row r="133" spans="15:33" hidden="1" x14ac:dyDescent="0.35"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</row>
    <row r="134" spans="15:33" hidden="1" x14ac:dyDescent="0.35"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</row>
    <row r="135" spans="15:33" hidden="1" x14ac:dyDescent="0.35"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</row>
    <row r="136" spans="15:33" hidden="1" x14ac:dyDescent="0.35"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</row>
    <row r="137" spans="15:33" hidden="1" x14ac:dyDescent="0.35"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</row>
    <row r="138" spans="15:33" hidden="1" x14ac:dyDescent="0.35"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</row>
    <row r="139" spans="15:33" hidden="1" x14ac:dyDescent="0.35"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</row>
    <row r="140" spans="15:33" hidden="1" x14ac:dyDescent="0.35"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</row>
    <row r="141" spans="15:33" hidden="1" x14ac:dyDescent="0.35"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</row>
    <row r="142" spans="15:33" hidden="1" x14ac:dyDescent="0.35"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</row>
    <row r="143" spans="15:33" hidden="1" x14ac:dyDescent="0.35"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</row>
    <row r="144" spans="15:33" hidden="1" x14ac:dyDescent="0.35"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</row>
    <row r="145" spans="15:33" hidden="1" x14ac:dyDescent="0.35"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</row>
    <row r="146" spans="15:33" hidden="1" x14ac:dyDescent="0.35"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</row>
    <row r="147" spans="15:33" hidden="1" x14ac:dyDescent="0.35"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</row>
    <row r="148" spans="15:33" hidden="1" x14ac:dyDescent="0.35"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</row>
    <row r="149" spans="15:33" hidden="1" x14ac:dyDescent="0.35"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</row>
    <row r="150" spans="15:33" hidden="1" x14ac:dyDescent="0.35"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</row>
    <row r="151" spans="15:33" hidden="1" x14ac:dyDescent="0.35"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</row>
    <row r="152" spans="15:33" hidden="1" x14ac:dyDescent="0.35"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</row>
    <row r="153" spans="15:33" hidden="1" x14ac:dyDescent="0.35"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</row>
    <row r="154" spans="15:33" hidden="1" x14ac:dyDescent="0.35"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</row>
    <row r="155" spans="15:33" hidden="1" x14ac:dyDescent="0.35"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</row>
    <row r="156" spans="15:33" hidden="1" x14ac:dyDescent="0.35"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</row>
    <row r="157" spans="15:33" hidden="1" x14ac:dyDescent="0.35"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</row>
    <row r="158" spans="15:33" hidden="1" x14ac:dyDescent="0.35"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</row>
    <row r="159" spans="15:33" hidden="1" x14ac:dyDescent="0.35"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</row>
    <row r="160" spans="15:33" hidden="1" x14ac:dyDescent="0.35"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</row>
    <row r="161" spans="15:33" hidden="1" x14ac:dyDescent="0.35"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</row>
    <row r="162" spans="15:33" hidden="1" x14ac:dyDescent="0.35"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</row>
    <row r="163" spans="15:33" hidden="1" x14ac:dyDescent="0.35"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</row>
    <row r="164" spans="15:33" hidden="1" x14ac:dyDescent="0.35"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</row>
    <row r="165" spans="15:33" hidden="1" x14ac:dyDescent="0.35"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</row>
    <row r="166" spans="15:33" hidden="1" x14ac:dyDescent="0.35"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</row>
    <row r="167" spans="15:33" hidden="1" x14ac:dyDescent="0.35"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</row>
    <row r="168" spans="15:33" hidden="1" x14ac:dyDescent="0.35"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</row>
    <row r="169" spans="15:33" hidden="1" x14ac:dyDescent="0.35"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</row>
    <row r="170" spans="15:33" hidden="1" x14ac:dyDescent="0.35"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</row>
    <row r="171" spans="15:33" hidden="1" x14ac:dyDescent="0.35"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</row>
    <row r="172" spans="15:33" hidden="1" x14ac:dyDescent="0.35"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</row>
    <row r="173" spans="15:33" hidden="1" x14ac:dyDescent="0.35"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</row>
    <row r="174" spans="15:33" hidden="1" x14ac:dyDescent="0.35"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</row>
    <row r="175" spans="15:33" hidden="1" x14ac:dyDescent="0.35"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</row>
    <row r="176" spans="15:33" hidden="1" x14ac:dyDescent="0.35"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</row>
    <row r="177" spans="15:33" hidden="1" x14ac:dyDescent="0.35"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</row>
    <row r="178" spans="15:33" hidden="1" x14ac:dyDescent="0.35"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</row>
    <row r="179" spans="15:33" hidden="1" x14ac:dyDescent="0.35"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</row>
    <row r="180" spans="15:33" hidden="1" x14ac:dyDescent="0.35"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</row>
    <row r="181" spans="15:33" hidden="1" x14ac:dyDescent="0.35"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</row>
    <row r="182" spans="15:33" hidden="1" x14ac:dyDescent="0.35"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</row>
    <row r="183" spans="15:33" hidden="1" x14ac:dyDescent="0.35"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</row>
    <row r="184" spans="15:33" hidden="1" x14ac:dyDescent="0.35"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</row>
    <row r="185" spans="15:33" hidden="1" x14ac:dyDescent="0.35"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</row>
    <row r="186" spans="15:33" hidden="1" x14ac:dyDescent="0.35"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</row>
    <row r="187" spans="15:33" hidden="1" x14ac:dyDescent="0.35"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</row>
    <row r="188" spans="15:33" hidden="1" x14ac:dyDescent="0.35"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</row>
    <row r="189" spans="15:33" hidden="1" x14ac:dyDescent="0.35"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</row>
    <row r="190" spans="15:33" hidden="1" x14ac:dyDescent="0.35"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</row>
    <row r="191" spans="15:33" hidden="1" x14ac:dyDescent="0.35"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</row>
    <row r="192" spans="15:33" hidden="1" x14ac:dyDescent="0.35"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</row>
    <row r="193" spans="15:33" hidden="1" x14ac:dyDescent="0.35"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</row>
    <row r="194" spans="15:33" hidden="1" x14ac:dyDescent="0.35"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</row>
    <row r="195" spans="15:33" hidden="1" x14ac:dyDescent="0.35"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</row>
    <row r="196" spans="15:33" hidden="1" x14ac:dyDescent="0.35"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</row>
    <row r="197" spans="15:33" hidden="1" x14ac:dyDescent="0.35"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</row>
    <row r="198" spans="15:33" hidden="1" x14ac:dyDescent="0.35"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</row>
    <row r="199" spans="15:33" hidden="1" x14ac:dyDescent="0.35"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</row>
    <row r="200" spans="15:33" hidden="1" x14ac:dyDescent="0.35"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</row>
    <row r="201" spans="15:33" hidden="1" x14ac:dyDescent="0.35"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</row>
    <row r="202" spans="15:33" hidden="1" x14ac:dyDescent="0.35"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</row>
    <row r="203" spans="15:33" hidden="1" x14ac:dyDescent="0.35"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</row>
    <row r="204" spans="15:33" hidden="1" x14ac:dyDescent="0.35"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</row>
    <row r="205" spans="15:33" hidden="1" x14ac:dyDescent="0.35"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</row>
    <row r="206" spans="15:33" hidden="1" x14ac:dyDescent="0.35"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</row>
    <row r="207" spans="15:33" hidden="1" x14ac:dyDescent="0.35"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</row>
    <row r="208" spans="15:33" hidden="1" x14ac:dyDescent="0.35"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</row>
    <row r="209" spans="15:33" hidden="1" x14ac:dyDescent="0.35"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</row>
    <row r="210" spans="15:33" hidden="1" x14ac:dyDescent="0.35"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</row>
    <row r="211" spans="15:33" hidden="1" x14ac:dyDescent="0.35"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</row>
    <row r="212" spans="15:33" hidden="1" x14ac:dyDescent="0.35"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</row>
    <row r="213" spans="15:33" hidden="1" x14ac:dyDescent="0.35"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</row>
    <row r="214" spans="15:33" hidden="1" x14ac:dyDescent="0.35"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</row>
    <row r="215" spans="15:33" hidden="1" x14ac:dyDescent="0.35"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</row>
    <row r="216" spans="15:33" hidden="1" x14ac:dyDescent="0.35"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</row>
    <row r="217" spans="15:33" hidden="1" x14ac:dyDescent="0.35"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</row>
    <row r="218" spans="15:33" hidden="1" x14ac:dyDescent="0.35"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</row>
    <row r="219" spans="15:33" hidden="1" x14ac:dyDescent="0.35"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</row>
    <row r="220" spans="15:33" hidden="1" x14ac:dyDescent="0.35"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</row>
    <row r="221" spans="15:33" hidden="1" x14ac:dyDescent="0.35"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</row>
    <row r="222" spans="15:33" hidden="1" x14ac:dyDescent="0.35"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</row>
    <row r="223" spans="15:33" hidden="1" x14ac:dyDescent="0.35"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</row>
    <row r="224" spans="15:33" hidden="1" x14ac:dyDescent="0.35"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</row>
    <row r="225" spans="15:33" hidden="1" x14ac:dyDescent="0.35"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</row>
    <row r="226" spans="15:33" hidden="1" x14ac:dyDescent="0.35"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</row>
    <row r="227" spans="15:33" hidden="1" x14ac:dyDescent="0.35"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</row>
    <row r="228" spans="15:33" hidden="1" x14ac:dyDescent="0.35"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</row>
    <row r="229" spans="15:33" hidden="1" x14ac:dyDescent="0.35"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</row>
    <row r="230" spans="15:33" hidden="1" x14ac:dyDescent="0.35"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</row>
    <row r="231" spans="15:33" hidden="1" x14ac:dyDescent="0.35"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</row>
    <row r="232" spans="15:33" hidden="1" x14ac:dyDescent="0.35"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</row>
    <row r="233" spans="15:33" hidden="1" x14ac:dyDescent="0.35"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</row>
    <row r="234" spans="15:33" hidden="1" x14ac:dyDescent="0.35"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</row>
    <row r="235" spans="15:33" hidden="1" x14ac:dyDescent="0.35"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</row>
    <row r="236" spans="15:33" hidden="1" x14ac:dyDescent="0.35"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</row>
    <row r="237" spans="15:33" hidden="1" x14ac:dyDescent="0.35"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</row>
    <row r="238" spans="15:33" hidden="1" x14ac:dyDescent="0.35"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</row>
    <row r="239" spans="15:33" hidden="1" x14ac:dyDescent="0.35"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</row>
    <row r="240" spans="15:33" hidden="1" x14ac:dyDescent="0.35"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</row>
    <row r="241" spans="15:33" hidden="1" x14ac:dyDescent="0.35"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</row>
    <row r="242" spans="15:33" hidden="1" x14ac:dyDescent="0.35"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</row>
    <row r="243" spans="15:33" hidden="1" x14ac:dyDescent="0.35"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</row>
    <row r="244" spans="15:33" hidden="1" x14ac:dyDescent="0.35"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</row>
    <row r="245" spans="15:33" hidden="1" x14ac:dyDescent="0.35"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</row>
    <row r="246" spans="15:33" hidden="1" x14ac:dyDescent="0.35"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</row>
    <row r="247" spans="15:33" hidden="1" x14ac:dyDescent="0.35"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</row>
    <row r="248" spans="15:33" hidden="1" x14ac:dyDescent="0.35"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</row>
    <row r="249" spans="15:33" hidden="1" x14ac:dyDescent="0.35"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</row>
    <row r="250" spans="15:33" hidden="1" x14ac:dyDescent="0.35"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</row>
    <row r="251" spans="15:33" hidden="1" x14ac:dyDescent="0.35"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</row>
    <row r="252" spans="15:33" hidden="1" x14ac:dyDescent="0.35"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</row>
    <row r="253" spans="15:33" hidden="1" x14ac:dyDescent="0.35"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</row>
    <row r="254" spans="15:33" hidden="1" x14ac:dyDescent="0.35"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</row>
    <row r="255" spans="15:33" hidden="1" x14ac:dyDescent="0.35"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</row>
    <row r="256" spans="15:33" hidden="1" x14ac:dyDescent="0.35"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</row>
    <row r="257" spans="15:33" hidden="1" x14ac:dyDescent="0.35"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</row>
    <row r="258" spans="15:33" hidden="1" x14ac:dyDescent="0.35"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</row>
    <row r="259" spans="15:33" hidden="1" x14ac:dyDescent="0.35">
      <c r="O259" s="72"/>
      <c r="P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</row>
  </sheetData>
  <sheetProtection algorithmName="SHA-512" hashValue="OqFxL7qN9gMTSb9VdGqoN2F9Kxe4hClWsr35FTrCfCCj1SI2re+ZUEm1kRnlFSCnYls1uQg74uf4nnq0a0MJvA==" saltValue="tqFUQVrmAVyTt3RoArBh6w==" spinCount="100000" sheet="1" objects="1" scenarios="1" selectLockedCells="1"/>
  <mergeCells count="11">
    <mergeCell ref="AH2:AI2"/>
    <mergeCell ref="W2:X2"/>
    <mergeCell ref="O2:S2"/>
    <mergeCell ref="T2:U2"/>
    <mergeCell ref="Y2:Z2"/>
    <mergeCell ref="AA2:AG2"/>
    <mergeCell ref="B2:H2"/>
    <mergeCell ref="B4:H4"/>
    <mergeCell ref="B3:H3"/>
    <mergeCell ref="B6:H6"/>
    <mergeCell ref="B27:H27"/>
  </mergeCells>
  <conditionalFormatting sqref="G42:H42">
    <cfRule type="cellIs" dxfId="17" priority="10" operator="greaterThan">
      <formula>$G$41</formula>
    </cfRule>
  </conditionalFormatting>
  <dataValidations count="11">
    <dataValidation type="list" allowBlank="1" showInputMessage="1" showErrorMessage="1" sqref="F23:G23" xr:uid="{E71B650F-98D1-4E22-A5C2-06519563F7AF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17" xr:uid="{8EBEABC8-C0FB-4096-96EE-7B8EED18D155}"/>
    <dataValidation type="list" allowBlank="1" showInputMessage="1" showErrorMessage="1" sqref="G10" xr:uid="{E2B9404F-7D42-4424-9A14-44285BBBA9C3}">
      <formula1>$T$6:$T$7</formula1>
    </dataValidation>
    <dataValidation type="list" allowBlank="1" showInputMessage="1" showErrorMessage="1" sqref="F14:G14" xr:uid="{58DDABAA-9854-4424-A8D5-B43E6F7C4858}">
      <formula1>$Y$6:$Y$12</formula1>
    </dataValidation>
    <dataValidation type="list" allowBlank="1" showInputMessage="1" showErrorMessage="1" sqref="F20:G20" xr:uid="{1A98DF6D-7F1B-4A83-B271-42A3A795EA9D}">
      <formula1>$AA$6:$AA$8</formula1>
    </dataValidation>
    <dataValidation type="list" allowBlank="1" showInputMessage="1" showErrorMessage="1" sqref="F22:G22" xr:uid="{7E296A00-0B6A-4BD5-B9FA-4DA5E363BA8E}">
      <formula1>IF(F20="Canada",$W$6:$W$7,IF(OR(F20="USA",F20="International"),$X$6,0))</formula1>
    </dataValidation>
    <dataValidation type="list" allowBlank="1" showInputMessage="1" showErrorMessage="1" sqref="G8" xr:uid="{16FBAF79-5258-4197-A826-5D316E126B3E}">
      <formula1>$O$5:$O$8</formula1>
    </dataValidation>
    <dataValidation type="list" allowBlank="1" showInputMessage="1" showErrorMessage="1" sqref="G9" xr:uid="{4682D1D2-51A1-4380-8883-042B68D5E357}">
      <formula1>IF(G8="","",IF(G8="Spirit",$P$6:$P$13,IF(G8="Wine",$Q$6:$Q$8,IF(G8="Ready to Drink",$R$6:$R$9,IF(G8="Beer",$S$6,"")))))</formula1>
    </dataValidation>
    <dataValidation type="list" allowBlank="1" showInputMessage="1" showErrorMessage="1" sqref="G19" xr:uid="{6BB5CA3B-0E3B-4C44-A87D-827DA0540830}">
      <formula1>IF(OR(G8="Ready to Drink",G8="Beer"),$V$6:$V$7,"")</formula1>
    </dataValidation>
    <dataValidation type="list" allowBlank="1" showInputMessage="1" showErrorMessage="1" sqref="F21" xr:uid="{E17D6A06-00E6-498D-8BA1-5DF38D490DBC}">
      <formula1>IF($E$20="Canada",$AB$6:$AB$26,IF($E$20="USA",$AD$6:$AD$24,IF($E$20="International",$AF$6:$AF$36,"")))</formula1>
    </dataValidation>
    <dataValidation type="list" allowBlank="1" showInputMessage="1" showErrorMessage="1" sqref="G21" xr:uid="{2D015531-25D3-4E60-9ADE-16E6265D646D}">
      <formula1>IF($G$20="Canada",$AB$6:$AB$26,IF($G$20="USA",$AD$6:$AD$24,IF($G$20="International",$AF$6:$AF$36,"")))</formula1>
    </dataValidation>
  </dataValidations>
  <pageMargins left="0.7" right="0.7" top="0.75" bottom="0.75" header="0.3" footer="0.3"/>
  <pageSetup orientation="portrait" r:id="rId1"/>
  <ignoredErrors>
    <ignoredError sqref="G4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Normal="100" workbookViewId="0">
      <selection activeCell="J26" sqref="J26"/>
    </sheetView>
  </sheetViews>
  <sheetFormatPr defaultRowHeight="14.5" x14ac:dyDescent="0.35"/>
  <cols>
    <col min="1" max="4" width="16.81640625" customWidth="1"/>
    <col min="7" max="11" width="14.81640625" bestFit="1" customWidth="1"/>
  </cols>
  <sheetData>
    <row r="2" spans="1:11" x14ac:dyDescent="0.35">
      <c r="A2" s="248" t="s">
        <v>747</v>
      </c>
      <c r="B2" s="249"/>
      <c r="C2" s="249"/>
      <c r="D2" s="250"/>
      <c r="G2" s="245" t="s">
        <v>707</v>
      </c>
      <c r="H2" s="246"/>
      <c r="I2" s="246"/>
      <c r="J2" s="246"/>
      <c r="K2" s="247"/>
    </row>
    <row r="3" spans="1:11" x14ac:dyDescent="0.35">
      <c r="A3" s="48" t="s">
        <v>733</v>
      </c>
      <c r="B3" s="49" t="s">
        <v>688</v>
      </c>
      <c r="C3" s="49" t="s">
        <v>734</v>
      </c>
      <c r="D3" s="50" t="s">
        <v>684</v>
      </c>
      <c r="G3" s="256" t="s">
        <v>733</v>
      </c>
      <c r="H3" s="254" t="s">
        <v>688</v>
      </c>
      <c r="I3" s="254" t="s">
        <v>734</v>
      </c>
      <c r="J3" s="254" t="s">
        <v>735</v>
      </c>
      <c r="K3" s="255" t="s">
        <v>736</v>
      </c>
    </row>
    <row r="4" spans="1:11" x14ac:dyDescent="0.35">
      <c r="A4" s="98">
        <f>IF(OR('Trial Pricing Calculator '!G22="",'Trial Pricing Calculator '!G22="Excise",'Trial Pricing Calculator '!G22="Duty Paid",'Trial Pricing Calculator '!G23="Yes",'Trial Pricing Calculator '!G20="Canada",'Trial Pricing Calculator '!G9="Tequila",'Trial Pricing Calculator '!G9="Brandy/Cognac",'Trial Pricing Calculator '!G9="Whisk(e)y"),0,IF('Trial Pricing Calculator '!G9="Gin",('Trial Pricing Calculator '!J18*('Trial Pricing Calculator '!J15/1000)*0.0492)*0.01,IF('Trial Pricing Calculator '!G9="Rum",('Trial Pricing Calculator '!J18*('Trial Pricing Calculator '!J15/1000)*0.2456)*0.01,IF('Trial Pricing Calculator '!G9="Vodka",('Trial Pricing Calculator '!J18*('Trial Pricing Calculator '!J15/1000)*0.1228)*0.01,IF('Trial Pricing Calculator '!G9="Liqueur",('Trial Pricing Calculator '!J18*('Trial Pricing Calculator '!J15/1000)*0.1228)*0.01,IF('Trial Pricing Calculator '!G9="Miscellaneous Spirit",('Trial Pricing Calculator '!J18*('Trial Pricing Calculator '!J15/1000)*0.1228)*0.01,0))))))</f>
        <v>0</v>
      </c>
      <c r="B4" s="99">
        <f>IF(OR('Trial Pricing Calculator '!G22="",'Trial Pricing Calculator '!G22="Excise",'Trial Pricing Calculator '!G22="Duty Paid",'Trial Pricing Calculator '!G9="Sake",'Trial Pricing Calculator '!G23="Yes",'Trial Pricing Calculator '!G9="Sparkling Wine",'Trial Pricing Calculator '!G17&gt;2,'Trial Pricing Calculator '!J15&gt;19.9),0,IF(AND('Trial Pricing Calculator '!J15&gt;14.9),0,IF(AND('Trial Pricing Calculator '!J15&gt;=7,'Trial Pricing Calculator '!J15&lt;13.8),'Trial Pricing Calculator '!G17*0.0187,IF(AND('Trial Pricing Calculator '!J15&gt;=13.9,'Trial Pricing Calculator '!J15&lt;14.9),'Trial Pricing Calculator '!G17*0.0468,IF('Trial Pricing Calculator '!J15&lt;7,'Trial Pricing Calculator '!G17*0.0187,IF('Trial Pricing Calculator '!J15&lt;15,'Trial Pricing Calculator '!G17*0.0468,0))))))</f>
        <v>0</v>
      </c>
      <c r="C4" s="100">
        <f>IF(OR('Trial Pricing Calculator '!G22="Excise",'Trial Pricing Calculator '!G22="Duty Paid",'Trial Pricing Calculator '!G22="",'Trial Pricing Calculator '!G23="Yes"),0,IF('Trial Pricing Calculator '!G9="Cider",'Trial Pricing Calculator '!J17*0.2816,('Trial Pricing Calculator '!J15*'Trial Pricing Calculator '!J17*0.1228)*0.01))</f>
        <v>0</v>
      </c>
      <c r="D4" s="47">
        <v>0</v>
      </c>
      <c r="G4" s="256"/>
      <c r="H4" s="254"/>
      <c r="I4" s="254"/>
      <c r="J4" s="254"/>
      <c r="K4" s="255"/>
    </row>
    <row r="5" spans="1:11" x14ac:dyDescent="0.35">
      <c r="A5" s="242" t="s">
        <v>746</v>
      </c>
      <c r="B5" s="243"/>
      <c r="C5" s="243"/>
      <c r="D5" s="244"/>
      <c r="G5" s="64">
        <f>IF((G10&lt;G13),G13,G10)</f>
        <v>0</v>
      </c>
      <c r="H5" s="64">
        <f>IF((H10&lt;H13),H13,H10)</f>
        <v>0</v>
      </c>
      <c r="I5" s="64">
        <f>IF(AND('Trial Pricing Calculator '!G18=1,I10&gt;I13),I10,IF(AND('Trial Pricing Calculator '!G18=1,I13&gt;I10),I13,IF(AND('Trial Pricing Calculator '!G18&gt;1,I16&gt;I18),I16,IF(AND('Trial Pricing Calculator '!G18&gt;1,I18&gt;I16),I18,0))))</f>
        <v>0</v>
      </c>
      <c r="J5" s="64">
        <f>IF(AND('Trial Pricing Calculator '!G19="Bottle",J13&gt;J10),J13,IF(AND('Trial Pricing Calculator '!G19="Bottle",J10&gt;J13),J10,IF(AND('Trial Pricing Calculator '!G19="Can",J18&gt;J16),J18,IF(AND('Trial Pricing Calculator '!G19="Can",J16&gt;J18),J16,0))))</f>
        <v>0</v>
      </c>
      <c r="K5" s="64">
        <f>IF(AND('Trial Pricing Calculator '!G19="Bottle",K13&gt;K10),K13,IF(AND('Trial Pricing Calculator '!G19="Bottle",K10&gt;K13),K10,IF(AND('Trial Pricing Calculator '!G19="Can",K18&gt;K16),K18,IF(AND('Trial Pricing Calculator '!G19="Can",K16&gt;K18),K16,0))))</f>
        <v>0</v>
      </c>
    </row>
    <row r="6" spans="1:11" x14ac:dyDescent="0.35">
      <c r="A6" s="48" t="s">
        <v>733</v>
      </c>
      <c r="B6" s="49" t="s">
        <v>688</v>
      </c>
      <c r="C6" s="49" t="s">
        <v>734</v>
      </c>
      <c r="D6" s="50" t="s">
        <v>684</v>
      </c>
      <c r="G6" s="32"/>
      <c r="H6" s="33"/>
      <c r="I6" s="33"/>
      <c r="J6" s="33"/>
      <c r="K6" s="34"/>
    </row>
    <row r="7" spans="1:11" x14ac:dyDescent="0.35">
      <c r="A7" s="41">
        <f>IFERROR(IF(OR('Trial Pricing Calculator '!G22="",'Trial Pricing Calculator '!G22="Duty Paid"),0,('Trial Pricing Calculator '!J17*'Trial Pricing Calculator '!J15*'Trial Pricing Calculator '!AI7*'Trial Pricing Calculator '!J19)*0.01),"0.0000")</f>
        <v>0</v>
      </c>
      <c r="B7" s="51">
        <f>IFERROR(IF(OR('Trial Pricing Calculator '!G22="",'Trial Pricing Calculator '!G22="Duty Paid"),0,IF('Trial Pricing Calculator '!J15&lt;=7,'Trial Pricing Calculator '!G17*'Trial Pricing Calculator '!AI10*'Trial Pricing Calculator '!J19,'Trial Pricing Calculator '!G17*'Trial Pricing Calculator '!AI9*'Trial Pricing Calculator '!J19)),0)</f>
        <v>0</v>
      </c>
      <c r="C7" s="46">
        <f>IF(OR('Trial Pricing Calculator '!G22="Duty Paid",'Trial Pricing Calculator '!G22=""),0,IF(AND('Trial Pricing Calculator '!G9="Spirit Cooler",'Trial Pricing Calculator '!J15&gt;7),(('Trial Pricing Calculator '!J17)*'Trial Pricing Calculator '!AI7)*0.01,IF(AND('Trial Pricing Calculator '!G9="Spirit Cooler",'Trial Pricing Calculator '!J15&lt;=7),(('Trial Pricing Calculator '!J17)*'Trial Pricing Calculator '!AI8),IF(AND('Trial Pricing Calculator '!G9="Wine Cooler",'Trial Pricing Calculator '!J15&gt;7),(('Trial Pricing Calculator '!J17)*'Trial Pricing Calculator '!AI9),IF(AND('Trial Pricing Calculator '!G9="Wine Cooler",'Trial Pricing Calculator '!J15&lt;=7),(('Trial Pricing Calculator '!J17)*'Trial Pricing Calculator '!AI10),IF(AND('Trial Pricing Calculator '!G9="Cider",'Trial Pricing Calculator '!J15&gt;7),(('Trial Pricing Calculator '!J17)*'Trial Pricing Calculator '!AI9),IF(AND('Trial Pricing Calculator '!G9="Cider",'Trial Pricing Calculator '!J15&lt;=7),(('Trial Pricing Calculator '!J17)*'Trial Pricing Calculator '!AI10),IF(AND('Trial Pricing Calculator '!G9="Malt Based Cooler",'Trial Pricing Calculator '!G22="Customs"),'Trial Pricing Calculator '!J17*'Trial Pricing Calculator '!AI6,0))))))))</f>
        <v>0</v>
      </c>
      <c r="D7" s="47">
        <f>IFERROR(IF('Trial Pricing Calculator '!G22="Customs",'Trial Pricing Calculator '!J17*'Trial Pricing Calculator '!AI6,0),"0.0000")</f>
        <v>0</v>
      </c>
      <c r="G7" s="32"/>
      <c r="H7" s="33"/>
      <c r="I7" s="33"/>
      <c r="J7" s="33"/>
      <c r="K7" s="34"/>
    </row>
    <row r="8" spans="1:11" x14ac:dyDescent="0.35">
      <c r="A8" s="242" t="s">
        <v>707</v>
      </c>
      <c r="B8" s="243"/>
      <c r="C8" s="243"/>
      <c r="D8" s="244"/>
      <c r="G8" s="32"/>
      <c r="H8" s="33"/>
      <c r="I8" s="33" t="s">
        <v>766</v>
      </c>
      <c r="J8" s="33" t="s">
        <v>767</v>
      </c>
      <c r="K8" s="34" t="s">
        <v>767</v>
      </c>
    </row>
    <row r="9" spans="1:11" x14ac:dyDescent="0.35">
      <c r="A9" s="69" t="s">
        <v>733</v>
      </c>
      <c r="B9" s="70" t="s">
        <v>688</v>
      </c>
      <c r="C9" s="70" t="s">
        <v>734</v>
      </c>
      <c r="D9" s="71" t="s">
        <v>684</v>
      </c>
      <c r="G9" s="58" t="s">
        <v>774</v>
      </c>
      <c r="H9" s="59" t="s">
        <v>774</v>
      </c>
      <c r="I9" s="59" t="s">
        <v>774</v>
      </c>
      <c r="J9" s="59" t="s">
        <v>774</v>
      </c>
      <c r="K9" s="60" t="s">
        <v>774</v>
      </c>
    </row>
    <row r="10" spans="1:11" x14ac:dyDescent="0.35">
      <c r="A10" s="67">
        <f>G5</f>
        <v>0</v>
      </c>
      <c r="B10" s="54">
        <f t="shared" ref="B10:C10" si="0">H5</f>
        <v>0</v>
      </c>
      <c r="C10" s="68">
        <f t="shared" si="0"/>
        <v>0</v>
      </c>
      <c r="D10" s="73">
        <f>IF('Trial Pricing Calculator '!G18&gt;1,K5,J5)</f>
        <v>0</v>
      </c>
      <c r="G10" s="66">
        <f>IFERROR(IF(AND('Trial Pricing Calculator '!G10="Yes",'Trial Pricing Calculator '!G11=1),(SUM('Trial Pricing Calculator '!G29:G33)*0.4),(SUM('Trial Pricing Calculator '!G29:G33)*1.53)),0)</f>
        <v>0</v>
      </c>
      <c r="H10" s="66">
        <f>IFERROR(IF(AND('Trial Pricing Calculator '!G10="Yes",'Trial Pricing Calculator '!G11=1),(SUM('Trial Pricing Calculator '!G29:G32)*0.4),(SUM('Trial Pricing Calculator '!G29:G32)*0.95)),0)</f>
        <v>0</v>
      </c>
      <c r="I10" s="66">
        <f>IFERROR(IF(AND('Trial Pricing Calculator '!G10="Yes",'Trial Pricing Calculator '!G11=1),(SUM('Trial Pricing Calculator '!G29:G32)*0.4),(SUM('Trial Pricing Calculator '!G29:G32)*0.95)),0)</f>
        <v>0</v>
      </c>
      <c r="J10" s="65">
        <f>IF('Trial Pricing Calculator '!G11=1,SUM('Trial Pricing Calculator '!J30*0.36),SUM('Trial Pricing Calculator '!J30*0.75))</f>
        <v>0</v>
      </c>
      <c r="K10" s="66">
        <f>IF('Trial Pricing Calculator '!G11=1,SUM('Trial Pricing Calculator '!J30*0.36),SUM('Trial Pricing Calculator '!J30*0.75))</f>
        <v>0</v>
      </c>
    </row>
    <row r="11" spans="1:11" x14ac:dyDescent="0.35">
      <c r="A11" s="242" t="s">
        <v>10</v>
      </c>
      <c r="B11" s="243"/>
      <c r="C11" s="243"/>
      <c r="D11" s="244"/>
      <c r="G11" s="61"/>
      <c r="H11" s="62"/>
      <c r="I11" s="62"/>
      <c r="J11" s="62"/>
      <c r="K11" s="63"/>
    </row>
    <row r="12" spans="1:11" x14ac:dyDescent="0.35">
      <c r="A12" s="48" t="s">
        <v>733</v>
      </c>
      <c r="B12" s="49" t="s">
        <v>688</v>
      </c>
      <c r="C12" s="49" t="s">
        <v>734</v>
      </c>
      <c r="D12" s="50" t="s">
        <v>684</v>
      </c>
      <c r="G12" s="58" t="s">
        <v>5</v>
      </c>
      <c r="H12" s="59" t="s">
        <v>5</v>
      </c>
      <c r="I12" s="59" t="s">
        <v>5</v>
      </c>
      <c r="J12" s="59" t="s">
        <v>5</v>
      </c>
      <c r="K12" s="60" t="s">
        <v>5</v>
      </c>
    </row>
    <row r="13" spans="1:11" x14ac:dyDescent="0.35">
      <c r="A13" s="41">
        <f>IF(AND('Trial Pricing Calculator '!G10="Yes",'Trial Pricing Calculator '!G11=1),'Trial Pricing Calculator '!J17*0.27,('Trial Pricing Calculator '!J17*1.39))</f>
        <v>0</v>
      </c>
      <c r="B13" s="51">
        <f>IF(AND('Trial Pricing Calculator '!G10="Yes",'Trial Pricing Calculator '!G11=1),'Trial Pricing Calculator '!J17*0.43,('Trial Pricing Calculator '!J17*2.1521))</f>
        <v>0</v>
      </c>
      <c r="C13" s="46">
        <f>IF(AND('Trial Pricing Calculator '!G10="Yes",'Trial Pricing Calculator '!G11=1),'Trial Pricing Calculator '!J17*0.21,('Trial Pricing Calculator '!J17*1.0526))</f>
        <v>0</v>
      </c>
      <c r="D13" s="52">
        <f>IF(AND('Trial Pricing Calculator '!G10="Yes",'Trial Pricing Calculator '!G11=1),'Trial Pricing Calculator '!J17*0.107,('Trial Pricing Calculator '!J17*0.5168))</f>
        <v>0</v>
      </c>
      <c r="G13" s="66">
        <f>IFERROR(IF(AND('Trial Pricing Calculator '!G10="Yes",'Trial Pricing Calculator '!G11=1),VLOOKUP('Trial Pricing Calculator '!G11,'Spirit Min. Markup'!L:N,3,0)*'Trial Pricing Calculator '!J17,(VLOOKUP('Trial Pricing Calculator '!G17,'Spirit Min. Markup'!B:E,4,0))),0)</f>
        <v>0</v>
      </c>
      <c r="H13" s="66">
        <f>IFERROR(IF(AND('Trial Pricing Calculator '!G10="Yes",'Trial Pricing Calculator '!G11=1),VLOOKUP('Trial Pricing Calculator '!G11,'Wine Min. Markup'!L:N,3,0)*'Trial Pricing Calculator '!J17,(VLOOKUP('Trial Pricing Calculator '!G17,'Wine Min. Markup'!B:E,4,0))),0)</f>
        <v>0</v>
      </c>
      <c r="I13" s="66">
        <f>IFERROR(IF(AND('Trial Pricing Calculator '!G10="Yes",'Trial Pricing Calculator '!G11=1),VLOOKUP('Trial Pricing Calculator '!G11,'Ref. Bev. Min. Markup'!X:Z,3,0)*'Trial Pricing Calculator '!J17,IF('Trial Pricing Calculator '!G18=1,VLOOKUP('Trial Pricing Calculator '!J17,'Ref. Bev. Min. Markup'!B:E,4,0),0)),0)</f>
        <v>0</v>
      </c>
      <c r="J13" s="66">
        <f>IFERROR(IF(AND('Trial Pricing Calculator '!G10="Yes",'Trial Pricing Calculator '!G19="Bottle",'Trial Pricing Calculator '!G11=1),'Trial Pricing Calculator '!J17*VLOOKUP('Trial Pricing Calculator '!G11,'Beer Min. Markup'!BK:BM,3,0),IF(AND('Trial Pricing Calculator '!G19="Bottle",'Trial Pricing Calculator '!G18=1),VLOOKUP('Trial Pricing Calculator '!J17,'Beer Min. Markup'!N:Q,4,0),0)),0)</f>
        <v>0</v>
      </c>
      <c r="K13" s="65">
        <f>IFERROR(IF(AND('Trial Pricing Calculator '!G10="Yes",'Trial Pricing Calculator '!G19="Bottle",'Trial Pricing Calculator '!G18&gt;1,'Trial Pricing Calculator '!G11=1),'Trial Pricing Calculator '!J17*VLOOKUP('Trial Pricing Calculator '!G11,'Beer Min. Markup'!BK:BM,3,0),VLOOKUP('Trial Pricing Calculator '!J17,'Beer Min. Markup'!AN:AP,3,0)),0)</f>
        <v>0</v>
      </c>
    </row>
    <row r="14" spans="1:11" x14ac:dyDescent="0.35">
      <c r="A14" s="251" t="s">
        <v>836</v>
      </c>
      <c r="B14" s="252"/>
      <c r="C14" s="252"/>
      <c r="D14" s="253"/>
      <c r="G14" s="61"/>
      <c r="H14" s="62"/>
      <c r="I14" s="62" t="s">
        <v>224</v>
      </c>
      <c r="J14" s="62" t="s">
        <v>794</v>
      </c>
      <c r="K14" s="63" t="s">
        <v>794</v>
      </c>
    </row>
    <row r="15" spans="1:11" x14ac:dyDescent="0.35">
      <c r="A15" s="48" t="s">
        <v>733</v>
      </c>
      <c r="B15" s="49" t="s">
        <v>688</v>
      </c>
      <c r="C15" s="49" t="s">
        <v>734</v>
      </c>
      <c r="D15" s="50" t="s">
        <v>684</v>
      </c>
      <c r="G15" s="61"/>
      <c r="H15" s="62"/>
      <c r="I15" s="59" t="s">
        <v>774</v>
      </c>
      <c r="J15" s="59" t="s">
        <v>774</v>
      </c>
      <c r="K15" s="60" t="s">
        <v>774</v>
      </c>
    </row>
    <row r="16" spans="1:11" x14ac:dyDescent="0.35">
      <c r="A16" s="41">
        <f>IF('Trial Pricing Calculator '!G20="Canada",0,IF('Trial Pricing Calculator '!G20="USA",IF('Trial Pricing Calculator '!G9="Liqueur",'Trial Pricing Calculator '!J17*0.31,'Trial Pricing Calculator '!J17*0.38),IF('Trial Pricing Calculator '!G9="Liqueur",'Trial Pricing Calculator '!J17*0.68,'Trial Pricing Calculator '!J17*0.65)))</f>
        <v>0</v>
      </c>
      <c r="B16" s="51">
        <f>IF('Trial Pricing Calculator '!G20="Canada",0,IF('Trial Pricing Calculator '!G20="USA",'Trial Pricing Calculator '!J17*0.15,'Trial Pricing Calculator '!J17*0.44))</f>
        <v>0</v>
      </c>
      <c r="C16" s="46">
        <f>IF('Trial Pricing Calculator '!G20="Canada",0,IF('Trial Pricing Calculator '!G20="USA",'Trial Pricing Calculator '!J17*0.22,'Trial Pricing Calculator '!J17*0.41))</f>
        <v>0</v>
      </c>
      <c r="D16" s="52">
        <f>IF('Trial Pricing Calculator '!G20="Canada",0,IF('Trial Pricing Calculator '!G20="USA",'Trial Pricing Calculator '!J17*0.57,'Trial Pricing Calculator '!J17*0.64))</f>
        <v>0</v>
      </c>
      <c r="G16" s="61"/>
      <c r="H16" s="62"/>
      <c r="I16" s="66">
        <f>IFERROR(IF(AND('Trial Pricing Calculator '!G10="Yes",'Trial Pricing Calculator '!G11=1),(SUM('Trial Pricing Calculator '!G29:G32)*0.4),(SUM('Trial Pricing Calculator '!G29:G32)*0.95)),0)</f>
        <v>0</v>
      </c>
      <c r="J16" s="66">
        <f>IF('Trial Pricing Calculator '!G11=1,SUM('Trial Pricing Calculator '!J30*0.36),SUM('Trial Pricing Calculator '!J30*0.75))</f>
        <v>0</v>
      </c>
      <c r="K16" s="66">
        <f>IF('Trial Pricing Calculator '!G11=1,SUM('Trial Pricing Calculator '!J30*0.36),SUM('Trial Pricing Calculator '!J30*0.75))</f>
        <v>0</v>
      </c>
    </row>
    <row r="17" spans="1:11" x14ac:dyDescent="0.35">
      <c r="A17" s="242" t="s">
        <v>837</v>
      </c>
      <c r="B17" s="243"/>
      <c r="C17" s="243"/>
      <c r="D17" s="244"/>
      <c r="G17" s="61"/>
      <c r="H17" s="62"/>
      <c r="I17" s="59" t="s">
        <v>5</v>
      </c>
      <c r="J17" s="59" t="s">
        <v>5</v>
      </c>
      <c r="K17" s="60" t="s">
        <v>5</v>
      </c>
    </row>
    <row r="18" spans="1:11" x14ac:dyDescent="0.35">
      <c r="A18" s="48" t="s">
        <v>733</v>
      </c>
      <c r="B18" s="49" t="s">
        <v>688</v>
      </c>
      <c r="C18" s="49" t="s">
        <v>734</v>
      </c>
      <c r="D18" s="50" t="s">
        <v>684</v>
      </c>
      <c r="G18" s="32"/>
      <c r="H18" s="33"/>
      <c r="I18" s="66">
        <f>IFERROR(IF(AND('Trial Pricing Calculator '!G10="Yes",'Trial Pricing Calculator '!G11=1),VLOOKUP('Trial Pricing Calculator '!G11,'Ref. Bev. Min. Markup'!X:Z,3,0)*'Trial Pricing Calculator '!J17,IF('Trial Pricing Calculator '!G18&gt;1,VLOOKUP('Trial Pricing Calculator '!J17,'Ref. Bev. Min. Markup'!O:Q,3,0),0)),0)</f>
        <v>0</v>
      </c>
      <c r="J18" s="65">
        <f>IFERROR(IF(AND('Trial Pricing Calculator '!G10="Yes",'Trial Pricing Calculator '!G19="Can",'Trial Pricing Calculator '!G18=1,'Trial Pricing Calculator '!G11=1),'Trial Pricing Calculator '!J17*VLOOKUP('Trial Pricing Calculator '!G11,'Beer Min. Markup'!BK:BM,3,0),VLOOKUP('Trial Pricing Calculator '!J17,'Beer Min. Markup'!N:Q,4,0)),0)</f>
        <v>0</v>
      </c>
      <c r="K18" s="65">
        <f>IFERROR(IF(AND('Trial Pricing Calculator '!G10="Yes",'Trial Pricing Calculator '!G19="Can",'Trial Pricing Calculator '!G18&gt;1,'Trial Pricing Calculator '!G11=1),'Trial Pricing Calculator '!J17*VLOOKUP('Trial Pricing Calculator '!G11,'Beer Min. Markup'!BK:BM,3,0),VLOOKUP('Trial Pricing Calculator '!J17,'Beer Min. Markup'!BA:BC,3,0)),0)</f>
        <v>0</v>
      </c>
    </row>
    <row r="19" spans="1:11" x14ac:dyDescent="0.35">
      <c r="A19" s="41">
        <f>IF('Trial Pricing Calculator '!G17=0.05,0.2377*'Trial Pricing Calculator '!J19,IF('Trial Pricing Calculator '!G17=0.2,0.3565*'Trial Pricing Calculator '!J19,IF('Trial Pricing Calculator '!G17=0.375,0.4753*'Trial Pricing Calculator '!J19,IF('Trial Pricing Calculator '!G17=1.14,0.2972*'Trial Pricing Calculator '!J19,IF('Trial Pricing Calculator '!G17=1.75,0.3565*'Trial Pricing Calculator '!J19,0)))))</f>
        <v>0</v>
      </c>
      <c r="B19" s="54">
        <f>IF('Trial Pricing Calculator '!G17&lt;0.75,0,IF(OR('Trial Pricing Calculator '!G17=0.75,'Trial Pricing Calculator '!G17=1),0.2972,IF('Trial Pricing Calculator '!G17=1.5,0.6893,IF('Trial Pricing Calculator '!G17=2,0.7726,IF('Trial Pricing Calculator '!G17=3,0.832,IF(OR('Trial Pricing Calculator '!G17=4,'Trial Pricing Calculator '!G17=5,'Trial Pricing Calculator '!G17=6),1.3906,IF(OR('Trial Pricing Calculator '!G17=7,'Trial Pricing Calculator '!G17=8,'Trial Pricing Calculator '!G17=9,'Trial Pricing Calculator '!G17=10),1.8066,IF('Trial Pricing Calculator '!G17=19.5,8.2246,IF('Trial Pricing Calculator '!G17=15,6.3349,IF('Trial Pricing Calculator '!G17=16,6.7627,IF('Trial Pricing Calculator '!G17=18,7.6065,IF('Trial Pricing Calculator '!G17=19,8.0225,IF('Trial Pricing Calculator '!G17=20,8.4504,IF('Trial Pricing Calculator '!G17=22,9.2944,0))))))))))))))</f>
        <v>0</v>
      </c>
      <c r="C19" s="46">
        <f>IF(AND('Trial Pricing Calculator '!G17&gt;0.049,'Trial Pricing Calculator '!G17&lt;0.401),SUM(0.0594*'Trial Pricing Calculator '!G18),IF(AND('Trial Pricing Calculator '!G17&gt;0.4,'Trial Pricing Calculator '!G17&lt;0.47),SUM(0.0714*'Trial Pricing Calculator '!G18),IF(AND('Trial Pricing Calculator '!G17&gt;0.469,'Trial Pricing Calculator '!G17&lt;0.66),SUM(0.0832*'Trial Pricing Calculator '!G18),IF(AND('Trial Pricing Calculator '!G17&gt;0.659,'Trial Pricing Calculator '!G17&lt;0.75),SUM(0.1189*'Trial Pricing Calculator '!G18),IF(AND('Trial Pricing Calculator '!G17&gt;0.749,'Trial Pricing Calculator '!G17&lt;0.9),SUM(0.1307*'Trial Pricing Calculator '!G18),IF(AND('Trial Pricing Calculator '!G17&gt;0.899,'Trial Pricing Calculator '!G17&lt;1),SUM(0.1546*'Trial Pricing Calculator '!G18),IF('Trial Pricing Calculator '!G17=1,SUM(0.1663*'Trial Pricing Calculator '!G18),IF('Trial Pricing Calculator '!G17=1.14,SUM(0.1902*'Trial Pricing Calculator '!G18),IF('Trial Pricing Calculator '!G17=1.75,SUM(0.2972*'Trial Pricing Calculator '!G18),IF('Trial Pricing Calculator '!G17=2,SUM(0.3328*'Trial Pricing Calculator '!G18),IF('Trial Pricing Calculator '!G17=3,SUM(0.4992*'Trial Pricing Calculator '!G18),0)))))))))))</f>
        <v>0</v>
      </c>
      <c r="D19" s="53">
        <f>IF(AND('Trial Pricing Calculator '!G18=24,'Trial Pricing Calculator '!G19="Bottle"),0.4272,IF(AND('Trial Pricing Calculator '!G18=8,'Trial Pricing Calculator '!G19="Can"),0.1784,IF(AND('Trial Pricing Calculator '!G18=15,'Trial Pricing Calculator '!G19="Can"),0.168,IF(AND('Trial Pricing Calculator '!G18=20,'Trial Pricing Calculator '!G19="Can"),0.236,IF(AND('Trial Pricing Calculator '!G18=30,'Trial Pricing Calculator '!G19="Can"),0.297,IF(AND('Trial Pricing Calculator '!G18=36,'Trial Pricing Calculator '!G19="Can"),0.2952,0))))))</f>
        <v>0</v>
      </c>
      <c r="G19" s="32"/>
      <c r="H19" s="33"/>
      <c r="I19" s="33"/>
      <c r="J19" s="33"/>
      <c r="K19" s="34"/>
    </row>
    <row r="20" spans="1:11" x14ac:dyDescent="0.35">
      <c r="G20" s="32"/>
      <c r="H20" s="33"/>
      <c r="I20" s="33"/>
      <c r="J20" s="33"/>
      <c r="K20" s="34"/>
    </row>
    <row r="21" spans="1:11" x14ac:dyDescent="0.35">
      <c r="G21" s="40" t="s">
        <v>815</v>
      </c>
      <c r="H21" s="39" t="s">
        <v>815</v>
      </c>
      <c r="I21" s="39" t="s">
        <v>815</v>
      </c>
      <c r="J21" s="39" t="s">
        <v>815</v>
      </c>
      <c r="K21" s="42" t="s">
        <v>816</v>
      </c>
    </row>
    <row r="22" spans="1:11" x14ac:dyDescent="0.35">
      <c r="G22" s="65">
        <f>IF(AND('Trial Pricing Calculator '!G8="Spirit",'Trial Pricing Calculator '!J18&lt;100),SUM('Trial Pricing Calculator '!J17*'Trial Pricing Calculator '!G15*SRP!E4),IF(AND('Trial Pricing Calculator '!G8="Spirit",'Trial Pricing Calculator '!J18&gt;=100,'Trial Pricing Calculator '!J18&lt;300),SUM('Trial Pricing Calculator '!J17*'Trial Pricing Calculator '!G15*SRP!E5),IF(AND('Trial Pricing Calculator '!G8="Spirit",'Trial Pricing Calculator '!J18&gt;=300,'Trial Pricing Calculator '!J18&lt;400),SUM('Trial Pricing Calculator '!J17*'Trial Pricing Calculator '!G15*SRP!E6),IF(AND('Trial Pricing Calculator '!G8="Spirit",'Trial Pricing Calculator '!J18&gt;=400,'Trial Pricing Calculator '!J18&lt;700),SUM('Trial Pricing Calculator '!J17*'Trial Pricing Calculator '!G15*SRP!E7),IF(AND('Trial Pricing Calculator '!G8="Spirit",'Trial Pricing Calculator '!J18&gt;=700),SUM('Trial Pricing Calculator '!J17*'Trial Pricing Calculator '!G15*SRP!E8),0)))))</f>
        <v>0</v>
      </c>
      <c r="H22" s="66">
        <f>IF(AND('Trial Pricing Calculator '!G8="Wine",'Trial Pricing Calculator '!G9="Fortified Wine",'Trial Pricing Calculator '!J18&lt;100),SUM('Trial Pricing Calculator '!J17*'Trial Pricing Calculator '!G15*SRP!E22),IF(AND('Trial Pricing Calculator '!G8="Wine",'Trial Pricing Calculator '!G9="Fortified Wine",'Trial Pricing Calculator '!J18&gt;=100,'Trial Pricing Calculator '!J18&lt;375),SUM('Trial Pricing Calculator '!J17*'Trial Pricing Calculator '!G15*SRP!E23),IF(AND('Trial Pricing Calculator '!G8="Wine",'Trial Pricing Calculator '!G9="Fortified Wine",'Trial Pricing Calculator '!J18&gt;=100,'Trial Pricing Calculator '!J18&lt;375),SUM('Trial Pricing Calculator '!J17*'Trial Pricing Calculator '!G15*SRP!E23),IF(AND('Trial Pricing Calculator '!G8="Wine",'Trial Pricing Calculator '!G9="Fortified Wine",'Trial Pricing Calculator '!J18&gt;=375,'Trial Pricing Calculator '!J18&lt;700),SUM('Trial Pricing Calculator '!J17*'Trial Pricing Calculator '!G15*SRP!E24),IF(AND('Trial Pricing Calculator '!G8="Wine",'Trial Pricing Calculator '!G9="Fortified Wine",'Trial Pricing Calculator '!J18&gt;=700),SUM('Trial Pricing Calculator '!J17*'Trial Pricing Calculator '!G15*SRP!E25),IF(AND('Trial Pricing Calculator '!G8="Wine",'Trial Pricing Calculator '!J18&lt;100),SUM('Trial Pricing Calculator '!J17*'Trial Pricing Calculator '!G15*SRP!E17),IF(AND('Trial Pricing Calculator '!G8="Wine",'Trial Pricing Calculator '!J18&gt;=100,'Trial Pricing Calculator '!J18&lt;375),SUM('Trial Pricing Calculator '!J17*'Trial Pricing Calculator '!G15*SRP!E18),IF(AND('Trial Pricing Calculator '!G8="Wine",'Trial Pricing Calculator '!J18&gt;=375,'Trial Pricing Calculator '!J18&lt;700),SUM('Trial Pricing Calculator '!J17*'Trial Pricing Calculator '!G15*SRP!E19),IF(AND('Trial Pricing Calculator '!G8="Wine",'Trial Pricing Calculator '!J18&gt;=700,'Trial Pricing Calculator '!J18&lt;4000),SUM('Trial Pricing Calculator '!J17*'Trial Pricing Calculator '!G15*SRP!E20),IF(AND('Trial Pricing Calculator '!G8="Wine",'Trial Pricing Calculator '!J18&gt;=4000),SUM('Trial Pricing Calculator '!J17*'Trial Pricing Calculator '!G15*SRP!E21),0))))))))))</f>
        <v>0</v>
      </c>
      <c r="I22" s="65">
        <f>IF(AND('Trial Pricing Calculator '!G8="Ready to Drink",'Trial Pricing Calculator '!J18&lt;100),SUM('Trial Pricing Calculator '!J17*'Trial Pricing Calculator '!G15*SRP!E12),IF(AND('Trial Pricing Calculator '!G8="Ready to Drink",'Trial Pricing Calculator '!J18&gt;=100,'Trial Pricing Calculator '!J18&lt;250),SUM('Trial Pricing Calculator '!J17*'Trial Pricing Calculator '!G15*SRP!E13),IF(AND('Trial Pricing Calculator '!G8="Ready to Drink",'Trial Pricing Calculator '!J18&gt;=250,'Trial Pricing Calculator '!J18&lt;400),SUM('Trial Pricing Calculator '!J17*'Trial Pricing Calculator '!G15*SRP!E14),IF(AND('Trial Pricing Calculator '!G8="Ready to Drink",'Trial Pricing Calculator '!J18&gt;=400,'Trial Pricing Calculator '!J18&lt;700),SUM('Trial Pricing Calculator '!J17*'Trial Pricing Calculator '!G15*SRP!E15),IF(AND('Trial Pricing Calculator '!G8="Ready to Drink",'Trial Pricing Calculator '!J18&gt;=700),SUM('Trial Pricing Calculator '!J17*'Trial Pricing Calculator '!G15*SRP!E16),0)))))</f>
        <v>0</v>
      </c>
      <c r="J22" s="65">
        <f>IF(AND('Trial Pricing Calculator '!G8="Beer",'Trial Pricing Calculator '!J18&lt;10000),SUM('Trial Pricing Calculator '!J17*'Trial Pricing Calculator '!G15*SRP!E9),IF(AND('Trial Pricing Calculator '!G8="Beer",'Trial Pricing Calculator '!J18&gt;=10000,'Trial Pricing Calculator '!J18&lt;20000),SUM('Trial Pricing Calculator '!J17*'Trial Pricing Calculator '!G15*SRP!E10),IF(AND('Trial Pricing Calculator '!G8="Beer",'Trial Pricing Calculator '!J18&lt;20000),SUM('Trial Pricing Calculator '!J17*'Trial Pricing Calculator '!G15*SRP!E11),0)))</f>
        <v>0</v>
      </c>
      <c r="K22" s="65">
        <f>IF('Trial Pricing Calculator '!J15&gt;5.5,SUM('Trial Pricing Calculator '!J17*('Trial Pricing Calculator '!J15/100)*66.085),0)</f>
        <v>0</v>
      </c>
    </row>
    <row r="23" spans="1:11" x14ac:dyDescent="0.35">
      <c r="G23" s="56"/>
      <c r="H23" s="33"/>
      <c r="I23" s="55"/>
      <c r="J23" s="33"/>
      <c r="K23" s="57"/>
    </row>
    <row r="24" spans="1:11" x14ac:dyDescent="0.35">
      <c r="G24" s="32"/>
      <c r="H24" s="33"/>
      <c r="I24" s="33"/>
      <c r="J24" s="39" t="s">
        <v>824</v>
      </c>
      <c r="K24" s="60" t="s">
        <v>825</v>
      </c>
    </row>
    <row r="25" spans="1:11" x14ac:dyDescent="0.35">
      <c r="G25" s="32"/>
      <c r="H25" s="33"/>
      <c r="I25" s="33"/>
      <c r="J25" s="43" t="s">
        <v>418</v>
      </c>
      <c r="K25" s="65">
        <f>IF('Trial Pricing Calculator '!G11=1,10,49)</f>
        <v>49</v>
      </c>
    </row>
    <row r="26" spans="1:11" x14ac:dyDescent="0.35">
      <c r="G26" s="32"/>
      <c r="H26" s="33"/>
      <c r="I26" s="33"/>
      <c r="J26" s="44">
        <v>1.1000000000000001</v>
      </c>
      <c r="K26" s="34"/>
    </row>
    <row r="27" spans="1:11" x14ac:dyDescent="0.35">
      <c r="G27" s="32"/>
      <c r="H27" s="33"/>
      <c r="I27" s="33"/>
      <c r="J27" s="45" t="s">
        <v>421</v>
      </c>
      <c r="K27" s="34"/>
    </row>
    <row r="28" spans="1:11" x14ac:dyDescent="0.35">
      <c r="G28" s="32"/>
      <c r="H28" s="33"/>
      <c r="I28" s="33"/>
      <c r="J28" s="44">
        <v>1.68</v>
      </c>
      <c r="K28" s="34"/>
    </row>
    <row r="29" spans="1:11" x14ac:dyDescent="0.35">
      <c r="G29" s="32"/>
      <c r="H29" s="33"/>
      <c r="I29" s="33"/>
      <c r="J29" s="33"/>
      <c r="K29" s="34"/>
    </row>
    <row r="30" spans="1:11" x14ac:dyDescent="0.35">
      <c r="G30" s="32"/>
      <c r="H30" s="33"/>
      <c r="I30" s="33"/>
      <c r="J30" s="33"/>
      <c r="K30" s="34"/>
    </row>
    <row r="31" spans="1:11" x14ac:dyDescent="0.35">
      <c r="G31" s="32"/>
      <c r="H31" s="33"/>
      <c r="I31" s="33"/>
      <c r="J31" s="33"/>
      <c r="K31" s="34"/>
    </row>
    <row r="32" spans="1:11" x14ac:dyDescent="0.35">
      <c r="G32" s="32"/>
      <c r="H32" s="33"/>
      <c r="I32" s="33"/>
      <c r="J32" s="33"/>
      <c r="K32" s="34"/>
    </row>
    <row r="33" spans="7:11" x14ac:dyDescent="0.35">
      <c r="G33" s="32"/>
      <c r="H33" s="33"/>
      <c r="I33" s="33"/>
      <c r="J33" s="33"/>
      <c r="K33" s="34"/>
    </row>
    <row r="34" spans="7:11" x14ac:dyDescent="0.35">
      <c r="G34" s="32"/>
      <c r="H34" s="33"/>
      <c r="I34" s="33"/>
      <c r="J34" s="33"/>
      <c r="K34" s="34"/>
    </row>
    <row r="35" spans="7:11" x14ac:dyDescent="0.35">
      <c r="G35" s="37"/>
      <c r="H35" s="46"/>
      <c r="I35" s="46"/>
      <c r="J35" s="46"/>
      <c r="K35" s="47"/>
    </row>
    <row r="36" spans="7:11" x14ac:dyDescent="0.35">
      <c r="G36" s="38"/>
      <c r="H36" s="38"/>
      <c r="I36" s="38"/>
      <c r="J36" s="38"/>
      <c r="K36" s="38"/>
    </row>
    <row r="37" spans="7:11" x14ac:dyDescent="0.35">
      <c r="G37" s="38"/>
      <c r="H37" s="38"/>
      <c r="I37" s="38"/>
      <c r="J37" s="38"/>
      <c r="K37" s="38"/>
    </row>
    <row r="38" spans="7:11" x14ac:dyDescent="0.35">
      <c r="G38" s="38"/>
      <c r="H38" s="38"/>
      <c r="I38" s="38"/>
      <c r="J38" s="38"/>
      <c r="K38" s="38"/>
    </row>
    <row r="39" spans="7:11" x14ac:dyDescent="0.35">
      <c r="G39" s="38"/>
      <c r="H39" s="38"/>
      <c r="I39" s="38"/>
      <c r="J39" s="38"/>
      <c r="K39" s="38"/>
    </row>
    <row r="40" spans="7:11" x14ac:dyDescent="0.35">
      <c r="G40" s="38"/>
      <c r="H40" s="38"/>
      <c r="I40" s="38"/>
      <c r="J40" s="38"/>
      <c r="K40" s="38"/>
    </row>
    <row r="41" spans="7:11" x14ac:dyDescent="0.35">
      <c r="G41" s="38"/>
      <c r="H41" s="38"/>
      <c r="I41" s="38"/>
      <c r="J41" s="38"/>
      <c r="K41" s="38"/>
    </row>
    <row r="42" spans="7:11" x14ac:dyDescent="0.35">
      <c r="G42" s="38"/>
      <c r="H42" s="38"/>
      <c r="I42" s="38"/>
      <c r="J42" s="38"/>
      <c r="K42" s="38"/>
    </row>
    <row r="43" spans="7:11" x14ac:dyDescent="0.35">
      <c r="G43" s="38"/>
      <c r="H43" s="38"/>
      <c r="I43" s="38"/>
      <c r="J43" s="38"/>
      <c r="K43" s="38"/>
    </row>
    <row r="44" spans="7:11" x14ac:dyDescent="0.35">
      <c r="G44" s="38"/>
      <c r="H44" s="38"/>
      <c r="I44" s="38"/>
      <c r="J44" s="38"/>
      <c r="K44" s="38"/>
    </row>
    <row r="45" spans="7:11" x14ac:dyDescent="0.35">
      <c r="G45" s="38"/>
      <c r="H45" s="38"/>
      <c r="I45" s="38"/>
      <c r="J45" s="38"/>
      <c r="K45" s="38"/>
    </row>
    <row r="46" spans="7:11" x14ac:dyDescent="0.35">
      <c r="G46" s="38"/>
      <c r="H46" s="38"/>
      <c r="I46" s="38"/>
      <c r="J46" s="38"/>
      <c r="K46" s="38"/>
    </row>
    <row r="47" spans="7:11" x14ac:dyDescent="0.35">
      <c r="G47" s="38"/>
      <c r="H47" s="38"/>
      <c r="I47" s="38"/>
      <c r="J47" s="38"/>
      <c r="K47" s="38"/>
    </row>
    <row r="48" spans="7:11" x14ac:dyDescent="0.35">
      <c r="G48" s="38"/>
      <c r="H48" s="38"/>
      <c r="I48" s="38"/>
      <c r="J48" s="38"/>
      <c r="K48" s="38"/>
    </row>
    <row r="49" spans="7:11" x14ac:dyDescent="0.35">
      <c r="G49" s="38"/>
      <c r="H49" s="38"/>
      <c r="I49" s="38"/>
      <c r="J49" s="38"/>
      <c r="K49" s="38"/>
    </row>
    <row r="50" spans="7:11" x14ac:dyDescent="0.35">
      <c r="G50" s="38"/>
      <c r="H50" s="38"/>
      <c r="I50" s="38"/>
      <c r="J50" s="38"/>
      <c r="K50" s="38"/>
    </row>
    <row r="51" spans="7:11" x14ac:dyDescent="0.35">
      <c r="G51" s="38"/>
      <c r="H51" s="38"/>
      <c r="I51" s="38"/>
      <c r="J51" s="38"/>
      <c r="K51" s="38"/>
    </row>
    <row r="52" spans="7:11" x14ac:dyDescent="0.35">
      <c r="G52" s="38"/>
      <c r="H52" s="38"/>
      <c r="I52" s="38"/>
      <c r="J52" s="38"/>
      <c r="K52" s="38"/>
    </row>
    <row r="53" spans="7:11" x14ac:dyDescent="0.35">
      <c r="G53" s="38"/>
      <c r="H53" s="38"/>
      <c r="I53" s="38"/>
      <c r="J53" s="38"/>
      <c r="K53" s="38"/>
    </row>
    <row r="54" spans="7:11" x14ac:dyDescent="0.35">
      <c r="G54" s="38"/>
      <c r="H54" s="38"/>
      <c r="I54" s="38"/>
      <c r="J54" s="38"/>
      <c r="K54" s="38"/>
    </row>
    <row r="55" spans="7:11" x14ac:dyDescent="0.35">
      <c r="G55" s="38"/>
      <c r="H55" s="38"/>
      <c r="I55" s="38"/>
      <c r="J55" s="38"/>
      <c r="K55" s="38"/>
    </row>
    <row r="56" spans="7:11" x14ac:dyDescent="0.35">
      <c r="G56" s="38"/>
      <c r="H56" s="38"/>
      <c r="I56" s="38"/>
      <c r="J56" s="38"/>
      <c r="K56" s="38"/>
    </row>
    <row r="57" spans="7:11" x14ac:dyDescent="0.35">
      <c r="G57" s="38"/>
      <c r="H57" s="38"/>
      <c r="I57" s="38"/>
      <c r="J57" s="38"/>
      <c r="K57" s="38"/>
    </row>
    <row r="58" spans="7:11" x14ac:dyDescent="0.35">
      <c r="G58" s="38"/>
      <c r="H58" s="38"/>
      <c r="I58" s="38"/>
      <c r="J58" s="38"/>
      <c r="K58" s="38"/>
    </row>
    <row r="59" spans="7:11" x14ac:dyDescent="0.35">
      <c r="G59" s="38"/>
      <c r="H59" s="38"/>
      <c r="I59" s="38"/>
      <c r="J59" s="38"/>
      <c r="K59" s="38"/>
    </row>
    <row r="60" spans="7:11" x14ac:dyDescent="0.35">
      <c r="G60" s="38"/>
      <c r="H60" s="38"/>
      <c r="I60" s="38"/>
      <c r="J60" s="38"/>
      <c r="K60" s="38"/>
    </row>
    <row r="61" spans="7:11" x14ac:dyDescent="0.35">
      <c r="G61" s="38"/>
      <c r="H61" s="38"/>
      <c r="I61" s="38"/>
      <c r="J61" s="38"/>
      <c r="K61" s="38"/>
    </row>
    <row r="62" spans="7:11" x14ac:dyDescent="0.35">
      <c r="G62" s="38"/>
      <c r="H62" s="38"/>
      <c r="I62" s="38"/>
      <c r="J62" s="38"/>
      <c r="K62" s="38"/>
    </row>
    <row r="63" spans="7:11" x14ac:dyDescent="0.35">
      <c r="G63" s="38"/>
      <c r="H63" s="38"/>
      <c r="I63" s="38"/>
      <c r="J63" s="38"/>
      <c r="K63" s="38"/>
    </row>
    <row r="64" spans="7:11" x14ac:dyDescent="0.35">
      <c r="G64" s="38"/>
      <c r="H64" s="38"/>
      <c r="I64" s="38"/>
      <c r="J64" s="38"/>
      <c r="K64" s="38"/>
    </row>
    <row r="65" spans="7:11" x14ac:dyDescent="0.35">
      <c r="G65" s="38"/>
      <c r="H65" s="38"/>
      <c r="I65" s="38"/>
      <c r="J65" s="38"/>
      <c r="K65" s="38"/>
    </row>
    <row r="66" spans="7:11" x14ac:dyDescent="0.35">
      <c r="G66" s="38"/>
      <c r="H66" s="38"/>
      <c r="I66" s="38"/>
      <c r="J66" s="38"/>
      <c r="K66" s="38"/>
    </row>
    <row r="67" spans="7:11" x14ac:dyDescent="0.35">
      <c r="G67" s="38"/>
      <c r="H67" s="38"/>
      <c r="I67" s="38"/>
      <c r="J67" s="38"/>
      <c r="K67" s="38"/>
    </row>
    <row r="68" spans="7:11" x14ac:dyDescent="0.35">
      <c r="G68" s="38"/>
      <c r="H68" s="38"/>
      <c r="I68" s="38"/>
      <c r="J68" s="38"/>
      <c r="K68" s="38"/>
    </row>
    <row r="69" spans="7:11" x14ac:dyDescent="0.35">
      <c r="G69" s="38"/>
      <c r="H69" s="38"/>
      <c r="I69" s="38"/>
      <c r="J69" s="38"/>
      <c r="K69" s="38"/>
    </row>
    <row r="70" spans="7:11" x14ac:dyDescent="0.35">
      <c r="G70" s="38"/>
      <c r="H70" s="38"/>
      <c r="I70" s="38"/>
      <c r="J70" s="38"/>
      <c r="K70" s="38"/>
    </row>
    <row r="71" spans="7:11" x14ac:dyDescent="0.35">
      <c r="G71" s="38"/>
      <c r="H71" s="38"/>
      <c r="I71" s="38"/>
      <c r="J71" s="38"/>
      <c r="K71" s="38"/>
    </row>
    <row r="72" spans="7:11" x14ac:dyDescent="0.35">
      <c r="G72" s="38"/>
      <c r="H72" s="38"/>
      <c r="I72" s="38"/>
      <c r="J72" s="38"/>
      <c r="K72" s="38"/>
    </row>
    <row r="73" spans="7:11" x14ac:dyDescent="0.35">
      <c r="G73" s="38"/>
      <c r="H73" s="38"/>
      <c r="I73" s="38"/>
      <c r="J73" s="38"/>
      <c r="K73" s="38"/>
    </row>
    <row r="74" spans="7:11" x14ac:dyDescent="0.35">
      <c r="G74" s="38"/>
      <c r="H74" s="38"/>
      <c r="I74" s="38"/>
      <c r="J74" s="38"/>
      <c r="K74" s="38"/>
    </row>
    <row r="75" spans="7:11" x14ac:dyDescent="0.35">
      <c r="G75" s="38"/>
      <c r="H75" s="38"/>
      <c r="I75" s="38"/>
      <c r="J75" s="38"/>
      <c r="K75" s="38"/>
    </row>
    <row r="76" spans="7:11" x14ac:dyDescent="0.35">
      <c r="G76" s="38"/>
      <c r="H76" s="38"/>
      <c r="I76" s="38"/>
      <c r="J76" s="38"/>
      <c r="K76" s="38"/>
    </row>
    <row r="77" spans="7:11" x14ac:dyDescent="0.35">
      <c r="G77" s="38"/>
      <c r="H77" s="38"/>
      <c r="I77" s="38"/>
      <c r="J77" s="38"/>
      <c r="K77" s="38"/>
    </row>
    <row r="78" spans="7:11" x14ac:dyDescent="0.35">
      <c r="G78" s="38"/>
      <c r="H78" s="38"/>
      <c r="I78" s="38"/>
      <c r="J78" s="38"/>
      <c r="K78" s="38"/>
    </row>
    <row r="79" spans="7:11" x14ac:dyDescent="0.35">
      <c r="G79" s="38"/>
      <c r="H79" s="38"/>
      <c r="I79" s="38"/>
      <c r="J79" s="38"/>
      <c r="K79" s="38"/>
    </row>
    <row r="80" spans="7:11" x14ac:dyDescent="0.35">
      <c r="G80" s="38"/>
      <c r="H80" s="38"/>
      <c r="I80" s="38"/>
      <c r="J80" s="38"/>
      <c r="K80" s="38"/>
    </row>
    <row r="81" spans="7:11" x14ac:dyDescent="0.35">
      <c r="G81" s="38"/>
      <c r="H81" s="38"/>
      <c r="I81" s="38"/>
      <c r="J81" s="38"/>
      <c r="K81" s="38"/>
    </row>
    <row r="82" spans="7:11" x14ac:dyDescent="0.35">
      <c r="G82" s="38"/>
      <c r="H82" s="38"/>
      <c r="I82" s="38"/>
      <c r="J82" s="38"/>
      <c r="K82" s="38"/>
    </row>
    <row r="83" spans="7:11" x14ac:dyDescent="0.35">
      <c r="G83" s="38"/>
      <c r="H83" s="38"/>
      <c r="I83" s="38"/>
      <c r="J83" s="38"/>
      <c r="K83" s="38"/>
    </row>
    <row r="84" spans="7:11" x14ac:dyDescent="0.35">
      <c r="G84" s="38"/>
      <c r="H84" s="38"/>
      <c r="I84" s="38"/>
      <c r="J84" s="38"/>
      <c r="K84" s="38"/>
    </row>
    <row r="85" spans="7:11" x14ac:dyDescent="0.35">
      <c r="G85" s="38"/>
      <c r="H85" s="38"/>
      <c r="I85" s="38"/>
      <c r="J85" s="38"/>
      <c r="K85" s="38"/>
    </row>
    <row r="86" spans="7:11" x14ac:dyDescent="0.35">
      <c r="G86" s="38"/>
      <c r="H86" s="38"/>
      <c r="I86" s="38"/>
      <c r="J86" s="38"/>
      <c r="K86" s="38"/>
    </row>
    <row r="87" spans="7:11" x14ac:dyDescent="0.35">
      <c r="G87" s="38"/>
      <c r="H87" s="38"/>
      <c r="I87" s="38"/>
      <c r="J87" s="38"/>
      <c r="K87" s="38"/>
    </row>
    <row r="88" spans="7:11" x14ac:dyDescent="0.35">
      <c r="G88" s="38"/>
      <c r="H88" s="38"/>
      <c r="I88" s="38"/>
      <c r="J88" s="38"/>
      <c r="K88" s="38"/>
    </row>
    <row r="89" spans="7:11" x14ac:dyDescent="0.35">
      <c r="G89" s="38"/>
      <c r="H89" s="38"/>
      <c r="I89" s="38"/>
      <c r="J89" s="38"/>
      <c r="K89" s="38"/>
    </row>
    <row r="90" spans="7:11" x14ac:dyDescent="0.35">
      <c r="G90" s="38"/>
      <c r="H90" s="38"/>
      <c r="I90" s="38"/>
      <c r="J90" s="38"/>
      <c r="K90" s="38"/>
    </row>
    <row r="91" spans="7:11" x14ac:dyDescent="0.35">
      <c r="G91" s="38"/>
      <c r="H91" s="38"/>
      <c r="I91" s="38"/>
      <c r="J91" s="38"/>
      <c r="K91" s="38"/>
    </row>
    <row r="92" spans="7:11" x14ac:dyDescent="0.35">
      <c r="G92" s="38"/>
      <c r="H92" s="38"/>
      <c r="I92" s="38"/>
      <c r="J92" s="38"/>
      <c r="K92" s="38"/>
    </row>
    <row r="93" spans="7:11" x14ac:dyDescent="0.35">
      <c r="G93" s="38"/>
      <c r="H93" s="38"/>
      <c r="I93" s="38"/>
      <c r="J93" s="38"/>
      <c r="K93" s="38"/>
    </row>
    <row r="94" spans="7:11" x14ac:dyDescent="0.35">
      <c r="G94" s="38"/>
      <c r="H94" s="38"/>
      <c r="I94" s="38"/>
      <c r="J94" s="38"/>
      <c r="K94" s="38"/>
    </row>
    <row r="95" spans="7:11" x14ac:dyDescent="0.35">
      <c r="G95" s="38"/>
      <c r="H95" s="38"/>
      <c r="I95" s="38"/>
      <c r="J95" s="38"/>
      <c r="K95" s="38"/>
    </row>
    <row r="96" spans="7:11" x14ac:dyDescent="0.35">
      <c r="G96" s="38"/>
      <c r="H96" s="38"/>
      <c r="I96" s="38"/>
      <c r="J96" s="38"/>
      <c r="K96" s="38"/>
    </row>
    <row r="97" spans="7:11" x14ac:dyDescent="0.35">
      <c r="G97" s="38"/>
      <c r="H97" s="38"/>
      <c r="I97" s="38"/>
      <c r="J97" s="38"/>
      <c r="K97" s="38"/>
    </row>
    <row r="98" spans="7:11" x14ac:dyDescent="0.35">
      <c r="G98" s="38"/>
      <c r="H98" s="38"/>
      <c r="I98" s="38"/>
      <c r="J98" s="38"/>
      <c r="K98" s="38"/>
    </row>
    <row r="99" spans="7:11" x14ac:dyDescent="0.35">
      <c r="G99" s="38"/>
      <c r="H99" s="38"/>
      <c r="I99" s="38"/>
      <c r="J99" s="38"/>
      <c r="K99" s="38"/>
    </row>
    <row r="100" spans="7:11" x14ac:dyDescent="0.35">
      <c r="G100" s="38"/>
      <c r="H100" s="38"/>
      <c r="I100" s="38"/>
      <c r="J100" s="38"/>
      <c r="K100" s="38"/>
    </row>
    <row r="101" spans="7:11" x14ac:dyDescent="0.35">
      <c r="G101" s="38"/>
      <c r="H101" s="38"/>
      <c r="I101" s="38"/>
      <c r="J101" s="38"/>
      <c r="K101" s="38"/>
    </row>
    <row r="102" spans="7:11" x14ac:dyDescent="0.35">
      <c r="G102" s="38"/>
      <c r="H102" s="38"/>
      <c r="I102" s="38"/>
      <c r="J102" s="38"/>
      <c r="K102" s="38"/>
    </row>
    <row r="103" spans="7:11" x14ac:dyDescent="0.35">
      <c r="G103" s="38"/>
      <c r="H103" s="38"/>
      <c r="I103" s="38"/>
      <c r="J103" s="38"/>
      <c r="K103" s="38"/>
    </row>
    <row r="104" spans="7:11" x14ac:dyDescent="0.35">
      <c r="G104" s="38"/>
      <c r="H104" s="38"/>
      <c r="I104" s="38"/>
      <c r="J104" s="38"/>
      <c r="K104" s="38"/>
    </row>
    <row r="105" spans="7:11" x14ac:dyDescent="0.35">
      <c r="G105" s="38"/>
      <c r="H105" s="38"/>
      <c r="I105" s="38"/>
      <c r="J105" s="38"/>
      <c r="K105" s="38"/>
    </row>
    <row r="106" spans="7:11" x14ac:dyDescent="0.35">
      <c r="G106" s="38"/>
      <c r="H106" s="38"/>
      <c r="I106" s="38"/>
      <c r="J106" s="38"/>
      <c r="K106" s="38"/>
    </row>
    <row r="107" spans="7:11" x14ac:dyDescent="0.35">
      <c r="G107" s="38"/>
      <c r="H107" s="38"/>
      <c r="I107" s="38"/>
      <c r="J107" s="38"/>
      <c r="K107" s="38"/>
    </row>
    <row r="108" spans="7:11" x14ac:dyDescent="0.35">
      <c r="G108" s="38"/>
      <c r="H108" s="38"/>
      <c r="I108" s="38"/>
      <c r="J108" s="38"/>
      <c r="K108" s="38"/>
    </row>
    <row r="109" spans="7:11" x14ac:dyDescent="0.35">
      <c r="G109" s="38"/>
      <c r="H109" s="38"/>
      <c r="I109" s="38"/>
      <c r="J109" s="38"/>
      <c r="K109" s="38"/>
    </row>
    <row r="110" spans="7:11" x14ac:dyDescent="0.35">
      <c r="G110" s="38"/>
      <c r="H110" s="38"/>
      <c r="I110" s="38"/>
      <c r="J110" s="38"/>
      <c r="K110" s="38"/>
    </row>
    <row r="111" spans="7:11" x14ac:dyDescent="0.35">
      <c r="G111" s="38"/>
      <c r="H111" s="38"/>
      <c r="I111" s="38"/>
      <c r="J111" s="38"/>
      <c r="K111" s="38"/>
    </row>
    <row r="112" spans="7:11" x14ac:dyDescent="0.35">
      <c r="G112" s="38"/>
      <c r="H112" s="38"/>
      <c r="I112" s="38"/>
      <c r="J112" s="38"/>
      <c r="K112" s="38"/>
    </row>
    <row r="113" spans="7:11" x14ac:dyDescent="0.35">
      <c r="G113" s="38"/>
      <c r="H113" s="38"/>
      <c r="I113" s="38"/>
      <c r="J113" s="38"/>
      <c r="K113" s="38"/>
    </row>
    <row r="114" spans="7:11" x14ac:dyDescent="0.35">
      <c r="G114" s="38"/>
      <c r="H114" s="38"/>
      <c r="I114" s="38"/>
      <c r="J114" s="38"/>
      <c r="K114" s="38"/>
    </row>
    <row r="115" spans="7:11" x14ac:dyDescent="0.35">
      <c r="G115" s="38"/>
      <c r="H115" s="38"/>
      <c r="I115" s="38"/>
      <c r="J115" s="38"/>
      <c r="K115" s="38"/>
    </row>
    <row r="116" spans="7:11" x14ac:dyDescent="0.35">
      <c r="G116" s="38"/>
      <c r="H116" s="38"/>
      <c r="I116" s="38"/>
      <c r="J116" s="38"/>
      <c r="K116" s="38"/>
    </row>
    <row r="117" spans="7:11" x14ac:dyDescent="0.35">
      <c r="G117" s="38"/>
      <c r="H117" s="38"/>
      <c r="I117" s="38"/>
      <c r="J117" s="38"/>
      <c r="K117" s="38"/>
    </row>
    <row r="118" spans="7:11" x14ac:dyDescent="0.35">
      <c r="G118" s="38"/>
      <c r="H118" s="38"/>
      <c r="I118" s="38"/>
      <c r="J118" s="38"/>
      <c r="K118" s="38"/>
    </row>
    <row r="119" spans="7:11" x14ac:dyDescent="0.35">
      <c r="G119" s="38"/>
      <c r="H119" s="38"/>
      <c r="I119" s="38"/>
      <c r="J119" s="38"/>
      <c r="K119" s="38"/>
    </row>
    <row r="120" spans="7:11" x14ac:dyDescent="0.35">
      <c r="G120" s="38"/>
      <c r="H120" s="38"/>
      <c r="I120" s="38"/>
      <c r="J120" s="38"/>
      <c r="K120" s="38"/>
    </row>
    <row r="121" spans="7:11" x14ac:dyDescent="0.35">
      <c r="G121" s="38"/>
      <c r="H121" s="38"/>
      <c r="I121" s="38"/>
      <c r="J121" s="38"/>
      <c r="K121" s="38"/>
    </row>
    <row r="122" spans="7:11" x14ac:dyDescent="0.35">
      <c r="G122" s="38"/>
      <c r="H122" s="38"/>
      <c r="I122" s="38"/>
      <c r="J122" s="38"/>
      <c r="K122" s="38"/>
    </row>
    <row r="123" spans="7:11" x14ac:dyDescent="0.35">
      <c r="G123" s="38"/>
      <c r="H123" s="38"/>
      <c r="I123" s="38"/>
      <c r="J123" s="38"/>
      <c r="K123" s="38"/>
    </row>
    <row r="124" spans="7:11" x14ac:dyDescent="0.35">
      <c r="G124" s="38"/>
      <c r="H124" s="38"/>
      <c r="I124" s="38"/>
      <c r="J124" s="38"/>
      <c r="K124" s="38"/>
    </row>
    <row r="125" spans="7:11" x14ac:dyDescent="0.35">
      <c r="G125" s="38"/>
      <c r="H125" s="38"/>
      <c r="I125" s="38"/>
      <c r="J125" s="38"/>
      <c r="K125" s="38"/>
    </row>
    <row r="126" spans="7:11" x14ac:dyDescent="0.35">
      <c r="G126" s="38"/>
      <c r="H126" s="38"/>
      <c r="I126" s="38"/>
      <c r="J126" s="38"/>
      <c r="K126" s="38"/>
    </row>
    <row r="127" spans="7:11" x14ac:dyDescent="0.35">
      <c r="G127" s="38"/>
      <c r="H127" s="38"/>
      <c r="I127" s="38"/>
      <c r="J127" s="38"/>
      <c r="K127" s="38"/>
    </row>
    <row r="128" spans="7:11" x14ac:dyDescent="0.35">
      <c r="G128" s="38"/>
      <c r="H128" s="38"/>
      <c r="I128" s="38"/>
      <c r="J128" s="38"/>
      <c r="K128" s="38"/>
    </row>
    <row r="129" spans="7:11" x14ac:dyDescent="0.35">
      <c r="G129" s="38"/>
      <c r="H129" s="38"/>
      <c r="I129" s="38"/>
      <c r="J129" s="38"/>
      <c r="K129" s="38"/>
    </row>
    <row r="130" spans="7:11" x14ac:dyDescent="0.35">
      <c r="G130" s="38"/>
      <c r="H130" s="38"/>
      <c r="I130" s="38"/>
      <c r="J130" s="38"/>
      <c r="K130" s="38"/>
    </row>
    <row r="131" spans="7:11" x14ac:dyDescent="0.35">
      <c r="G131" s="38"/>
      <c r="H131" s="38"/>
      <c r="I131" s="38"/>
      <c r="J131" s="38"/>
      <c r="K131" s="38"/>
    </row>
    <row r="132" spans="7:11" x14ac:dyDescent="0.35">
      <c r="G132" s="38"/>
      <c r="H132" s="38"/>
      <c r="I132" s="38"/>
      <c r="J132" s="38"/>
      <c r="K132" s="38"/>
    </row>
    <row r="133" spans="7:11" x14ac:dyDescent="0.35">
      <c r="G133" s="38"/>
      <c r="H133" s="38"/>
      <c r="I133" s="38"/>
      <c r="J133" s="38"/>
      <c r="K133" s="38"/>
    </row>
    <row r="134" spans="7:11" x14ac:dyDescent="0.35">
      <c r="G134" s="38"/>
      <c r="H134" s="38"/>
      <c r="I134" s="38"/>
      <c r="J134" s="38"/>
      <c r="K134" s="38"/>
    </row>
    <row r="135" spans="7:11" x14ac:dyDescent="0.35">
      <c r="G135" s="38"/>
      <c r="H135" s="38"/>
      <c r="I135" s="38"/>
      <c r="J135" s="38"/>
      <c r="K135" s="38"/>
    </row>
    <row r="136" spans="7:11" x14ac:dyDescent="0.35">
      <c r="G136" s="38"/>
      <c r="H136" s="38"/>
      <c r="I136" s="38"/>
      <c r="J136" s="38"/>
      <c r="K136" s="38"/>
    </row>
    <row r="137" spans="7:11" x14ac:dyDescent="0.35">
      <c r="G137" s="38"/>
      <c r="H137" s="38"/>
      <c r="I137" s="38"/>
      <c r="J137" s="38"/>
      <c r="K137" s="38"/>
    </row>
    <row r="138" spans="7:11" x14ac:dyDescent="0.35">
      <c r="G138" s="38"/>
      <c r="H138" s="38"/>
      <c r="I138" s="38"/>
      <c r="J138" s="38"/>
      <c r="K138" s="38"/>
    </row>
    <row r="139" spans="7:11" x14ac:dyDescent="0.35">
      <c r="G139" s="38"/>
      <c r="H139" s="38"/>
      <c r="I139" s="38"/>
      <c r="J139" s="38"/>
      <c r="K139" s="38"/>
    </row>
    <row r="140" spans="7:11" x14ac:dyDescent="0.35">
      <c r="G140" s="38"/>
      <c r="H140" s="38"/>
      <c r="I140" s="38"/>
      <c r="J140" s="38"/>
      <c r="K140" s="38"/>
    </row>
    <row r="141" spans="7:11" x14ac:dyDescent="0.35">
      <c r="G141" s="38"/>
      <c r="H141" s="38"/>
      <c r="I141" s="38"/>
      <c r="J141" s="38"/>
      <c r="K141" s="38"/>
    </row>
    <row r="142" spans="7:11" x14ac:dyDescent="0.35">
      <c r="G142" s="38"/>
      <c r="H142" s="38"/>
      <c r="I142" s="38"/>
      <c r="J142" s="38"/>
      <c r="K142" s="38"/>
    </row>
    <row r="143" spans="7:11" x14ac:dyDescent="0.35">
      <c r="G143" s="38"/>
      <c r="H143" s="38"/>
      <c r="I143" s="38"/>
      <c r="J143" s="38"/>
      <c r="K143" s="38"/>
    </row>
    <row r="144" spans="7:11" x14ac:dyDescent="0.35">
      <c r="G144" s="38"/>
      <c r="H144" s="38"/>
      <c r="I144" s="38"/>
      <c r="J144" s="38"/>
      <c r="K144" s="38"/>
    </row>
    <row r="145" spans="7:11" x14ac:dyDescent="0.35">
      <c r="G145" s="38"/>
      <c r="H145" s="38"/>
      <c r="I145" s="38"/>
      <c r="J145" s="38"/>
      <c r="K145" s="38"/>
    </row>
    <row r="146" spans="7:11" x14ac:dyDescent="0.35">
      <c r="G146" s="38"/>
      <c r="H146" s="38"/>
      <c r="I146" s="38"/>
      <c r="J146" s="38"/>
      <c r="K146" s="38"/>
    </row>
    <row r="147" spans="7:11" x14ac:dyDescent="0.35">
      <c r="G147" s="38"/>
      <c r="H147" s="38"/>
      <c r="I147" s="38"/>
      <c r="J147" s="38"/>
      <c r="K147" s="38"/>
    </row>
    <row r="148" spans="7:11" x14ac:dyDescent="0.35">
      <c r="G148" s="38"/>
      <c r="H148" s="38"/>
      <c r="I148" s="38"/>
      <c r="J148" s="38"/>
      <c r="K148" s="38"/>
    </row>
    <row r="149" spans="7:11" x14ac:dyDescent="0.35">
      <c r="G149" s="38"/>
      <c r="H149" s="38"/>
      <c r="I149" s="38"/>
      <c r="J149" s="38"/>
      <c r="K149" s="38"/>
    </row>
    <row r="150" spans="7:11" x14ac:dyDescent="0.35">
      <c r="G150" s="38"/>
      <c r="H150" s="38"/>
      <c r="I150" s="38"/>
      <c r="J150" s="38"/>
      <c r="K150" s="38"/>
    </row>
    <row r="151" spans="7:11" x14ac:dyDescent="0.35">
      <c r="G151" s="38"/>
      <c r="H151" s="38"/>
      <c r="I151" s="38"/>
      <c r="J151" s="38"/>
      <c r="K151" s="38"/>
    </row>
    <row r="152" spans="7:11" x14ac:dyDescent="0.35">
      <c r="G152" s="38"/>
      <c r="H152" s="38"/>
      <c r="I152" s="38"/>
      <c r="J152" s="38"/>
      <c r="K152" s="38"/>
    </row>
    <row r="153" spans="7:11" x14ac:dyDescent="0.35">
      <c r="G153" s="38"/>
      <c r="H153" s="38"/>
      <c r="I153" s="38"/>
      <c r="J153" s="38"/>
      <c r="K153" s="38"/>
    </row>
    <row r="154" spans="7:11" x14ac:dyDescent="0.35">
      <c r="G154" s="38"/>
      <c r="H154" s="38"/>
      <c r="I154" s="38"/>
      <c r="J154" s="38"/>
      <c r="K154" s="38"/>
    </row>
    <row r="155" spans="7:11" x14ac:dyDescent="0.35">
      <c r="G155" s="38"/>
      <c r="H155" s="38"/>
      <c r="I155" s="38"/>
      <c r="J155" s="38"/>
      <c r="K155" s="38"/>
    </row>
    <row r="156" spans="7:11" x14ac:dyDescent="0.35">
      <c r="G156" s="38"/>
      <c r="H156" s="38"/>
      <c r="I156" s="38"/>
      <c r="J156" s="38"/>
      <c r="K156" s="38"/>
    </row>
    <row r="157" spans="7:11" x14ac:dyDescent="0.35">
      <c r="G157" s="38"/>
      <c r="H157" s="38"/>
      <c r="I157" s="38"/>
      <c r="J157" s="38"/>
      <c r="K157" s="38"/>
    </row>
    <row r="158" spans="7:11" x14ac:dyDescent="0.35">
      <c r="G158" s="38"/>
      <c r="H158" s="38"/>
      <c r="I158" s="38"/>
      <c r="J158" s="38"/>
      <c r="K158" s="38"/>
    </row>
    <row r="159" spans="7:11" x14ac:dyDescent="0.35">
      <c r="G159" s="38"/>
      <c r="H159" s="38"/>
      <c r="I159" s="38"/>
      <c r="J159" s="38"/>
      <c r="K159" s="38"/>
    </row>
    <row r="160" spans="7:11" x14ac:dyDescent="0.35">
      <c r="G160" s="38"/>
      <c r="H160" s="38"/>
      <c r="I160" s="38"/>
      <c r="J160" s="38"/>
      <c r="K160" s="38"/>
    </row>
    <row r="161" spans="7:11" x14ac:dyDescent="0.35">
      <c r="G161" s="38"/>
      <c r="H161" s="38"/>
      <c r="I161" s="38"/>
      <c r="J161" s="38"/>
      <c r="K161" s="38"/>
    </row>
    <row r="162" spans="7:11" x14ac:dyDescent="0.35">
      <c r="G162" s="38"/>
      <c r="H162" s="38"/>
      <c r="I162" s="38"/>
      <c r="J162" s="38"/>
      <c r="K162" s="38"/>
    </row>
    <row r="163" spans="7:11" x14ac:dyDescent="0.35">
      <c r="G163" s="38"/>
      <c r="H163" s="38"/>
      <c r="I163" s="38"/>
      <c r="J163" s="38"/>
      <c r="K163" s="38"/>
    </row>
    <row r="164" spans="7:11" x14ac:dyDescent="0.35">
      <c r="G164" s="38"/>
      <c r="H164" s="38"/>
      <c r="I164" s="38"/>
      <c r="J164" s="38"/>
      <c r="K164" s="38"/>
    </row>
    <row r="165" spans="7:11" x14ac:dyDescent="0.35">
      <c r="G165" s="38"/>
      <c r="H165" s="38"/>
      <c r="I165" s="38"/>
      <c r="J165" s="38"/>
      <c r="K165" s="38"/>
    </row>
    <row r="166" spans="7:11" x14ac:dyDescent="0.35">
      <c r="G166" s="38"/>
      <c r="H166" s="38"/>
      <c r="I166" s="38"/>
      <c r="J166" s="38"/>
      <c r="K166" s="38"/>
    </row>
    <row r="167" spans="7:11" x14ac:dyDescent="0.35">
      <c r="G167" s="38"/>
      <c r="H167" s="38"/>
      <c r="I167" s="38"/>
      <c r="J167" s="38"/>
      <c r="K167" s="38"/>
    </row>
    <row r="168" spans="7:11" x14ac:dyDescent="0.35">
      <c r="G168" s="38"/>
      <c r="H168" s="38"/>
      <c r="I168" s="38"/>
      <c r="J168" s="38"/>
      <c r="K168" s="38"/>
    </row>
    <row r="169" spans="7:11" x14ac:dyDescent="0.35">
      <c r="G169" s="38"/>
      <c r="H169" s="38"/>
      <c r="I169" s="38"/>
      <c r="J169" s="38"/>
      <c r="K169" s="38"/>
    </row>
    <row r="170" spans="7:11" x14ac:dyDescent="0.35">
      <c r="G170" s="38"/>
      <c r="H170" s="38"/>
      <c r="I170" s="38"/>
      <c r="J170" s="38"/>
      <c r="K170" s="38"/>
    </row>
    <row r="171" spans="7:11" x14ac:dyDescent="0.35">
      <c r="G171" s="38"/>
      <c r="H171" s="38"/>
      <c r="I171" s="38"/>
      <c r="J171" s="38"/>
      <c r="K171" s="38"/>
    </row>
    <row r="172" spans="7:11" x14ac:dyDescent="0.35">
      <c r="G172" s="38"/>
      <c r="H172" s="38"/>
      <c r="I172" s="38"/>
      <c r="J172" s="38"/>
      <c r="K172" s="38"/>
    </row>
    <row r="173" spans="7:11" x14ac:dyDescent="0.35">
      <c r="G173" s="38"/>
      <c r="H173" s="38"/>
      <c r="I173" s="38"/>
      <c r="J173" s="38"/>
      <c r="K173" s="38"/>
    </row>
    <row r="174" spans="7:11" x14ac:dyDescent="0.35">
      <c r="G174" s="38"/>
      <c r="H174" s="38"/>
      <c r="I174" s="38"/>
      <c r="J174" s="38"/>
      <c r="K174" s="38"/>
    </row>
    <row r="175" spans="7:11" x14ac:dyDescent="0.35">
      <c r="G175" s="38"/>
      <c r="H175" s="38"/>
      <c r="I175" s="38"/>
      <c r="J175" s="38"/>
      <c r="K175" s="38"/>
    </row>
    <row r="176" spans="7:11" x14ac:dyDescent="0.35">
      <c r="G176" s="38"/>
      <c r="H176" s="38"/>
      <c r="I176" s="38"/>
      <c r="J176" s="38"/>
      <c r="K176" s="38"/>
    </row>
    <row r="177" spans="7:11" x14ac:dyDescent="0.35">
      <c r="G177" s="38"/>
      <c r="H177" s="38"/>
      <c r="I177" s="38"/>
      <c r="J177" s="38"/>
      <c r="K177" s="38"/>
    </row>
    <row r="178" spans="7:11" x14ac:dyDescent="0.35">
      <c r="G178" s="38"/>
      <c r="H178" s="38"/>
      <c r="I178" s="38"/>
      <c r="J178" s="38"/>
      <c r="K178" s="38"/>
    </row>
    <row r="179" spans="7:11" x14ac:dyDescent="0.35">
      <c r="G179" s="38"/>
      <c r="H179" s="38"/>
      <c r="I179" s="38"/>
      <c r="J179" s="38"/>
      <c r="K179" s="38"/>
    </row>
    <row r="180" spans="7:11" x14ac:dyDescent="0.35">
      <c r="G180" s="38"/>
      <c r="H180" s="38"/>
      <c r="I180" s="38"/>
      <c r="J180" s="38"/>
      <c r="K180" s="38"/>
    </row>
    <row r="181" spans="7:11" x14ac:dyDescent="0.35">
      <c r="G181" s="38"/>
      <c r="H181" s="38"/>
      <c r="I181" s="38"/>
      <c r="J181" s="38"/>
      <c r="K181" s="38"/>
    </row>
    <row r="182" spans="7:11" x14ac:dyDescent="0.35">
      <c r="G182" s="38"/>
      <c r="H182" s="38"/>
      <c r="I182" s="38"/>
      <c r="J182" s="38"/>
      <c r="K182" s="38"/>
    </row>
    <row r="183" spans="7:11" x14ac:dyDescent="0.35">
      <c r="G183" s="38"/>
      <c r="H183" s="38"/>
      <c r="I183" s="38"/>
      <c r="J183" s="38"/>
      <c r="K183" s="38"/>
    </row>
    <row r="184" spans="7:11" x14ac:dyDescent="0.35">
      <c r="G184" s="38"/>
      <c r="H184" s="38"/>
      <c r="I184" s="38"/>
      <c r="J184" s="38"/>
      <c r="K184" s="38"/>
    </row>
    <row r="185" spans="7:11" x14ac:dyDescent="0.35">
      <c r="G185" s="38"/>
      <c r="H185" s="38"/>
      <c r="I185" s="38"/>
      <c r="J185" s="38"/>
      <c r="K185" s="38"/>
    </row>
    <row r="186" spans="7:11" x14ac:dyDescent="0.35">
      <c r="G186" s="38"/>
      <c r="H186" s="38"/>
      <c r="I186" s="38"/>
      <c r="J186" s="38"/>
      <c r="K186" s="38"/>
    </row>
    <row r="187" spans="7:11" x14ac:dyDescent="0.35">
      <c r="G187" s="38"/>
      <c r="H187" s="38"/>
      <c r="I187" s="38"/>
      <c r="J187" s="38"/>
      <c r="K187" s="38"/>
    </row>
    <row r="188" spans="7:11" x14ac:dyDescent="0.35">
      <c r="G188" s="38"/>
      <c r="H188" s="38"/>
      <c r="I188" s="38"/>
      <c r="J188" s="38"/>
      <c r="K188" s="38"/>
    </row>
    <row r="189" spans="7:11" x14ac:dyDescent="0.35">
      <c r="G189" s="38"/>
      <c r="H189" s="38"/>
      <c r="I189" s="38"/>
      <c r="J189" s="38"/>
      <c r="K189" s="38"/>
    </row>
    <row r="190" spans="7:11" x14ac:dyDescent="0.35">
      <c r="G190" s="38"/>
      <c r="H190" s="38"/>
      <c r="I190" s="38"/>
      <c r="J190" s="38"/>
      <c r="K190" s="38"/>
    </row>
    <row r="191" spans="7:11" x14ac:dyDescent="0.35">
      <c r="G191" s="38"/>
      <c r="H191" s="38"/>
      <c r="I191" s="38"/>
      <c r="J191" s="38"/>
      <c r="K191" s="38"/>
    </row>
    <row r="192" spans="7:11" x14ac:dyDescent="0.35">
      <c r="G192" s="38"/>
      <c r="H192" s="38"/>
      <c r="I192" s="38"/>
      <c r="J192" s="38"/>
      <c r="K192" s="38"/>
    </row>
    <row r="193" spans="7:11" x14ac:dyDescent="0.35">
      <c r="G193" s="38"/>
      <c r="H193" s="38"/>
      <c r="I193" s="38"/>
      <c r="J193" s="38"/>
      <c r="K193" s="38"/>
    </row>
    <row r="194" spans="7:11" x14ac:dyDescent="0.35">
      <c r="G194" s="38"/>
      <c r="H194" s="38"/>
      <c r="I194" s="38"/>
      <c r="J194" s="38"/>
      <c r="K194" s="38"/>
    </row>
    <row r="195" spans="7:11" x14ac:dyDescent="0.35">
      <c r="G195" s="38"/>
      <c r="H195" s="38"/>
      <c r="I195" s="38"/>
      <c r="J195" s="38"/>
      <c r="K195" s="38"/>
    </row>
    <row r="196" spans="7:11" x14ac:dyDescent="0.35">
      <c r="G196" s="38"/>
      <c r="H196" s="38"/>
      <c r="I196" s="38"/>
      <c r="J196" s="38"/>
      <c r="K196" s="38"/>
    </row>
    <row r="197" spans="7:11" x14ac:dyDescent="0.35">
      <c r="G197" s="38"/>
      <c r="H197" s="38"/>
      <c r="I197" s="38"/>
      <c r="J197" s="38"/>
      <c r="K197" s="38"/>
    </row>
    <row r="198" spans="7:11" x14ac:dyDescent="0.35">
      <c r="G198" s="38"/>
      <c r="H198" s="38"/>
      <c r="I198" s="38"/>
      <c r="J198" s="38"/>
      <c r="K198" s="38"/>
    </row>
    <row r="199" spans="7:11" x14ac:dyDescent="0.35">
      <c r="G199" s="38"/>
      <c r="H199" s="38"/>
      <c r="I199" s="38"/>
      <c r="J199" s="38"/>
      <c r="K199" s="38"/>
    </row>
    <row r="200" spans="7:11" x14ac:dyDescent="0.35">
      <c r="G200" s="38"/>
      <c r="H200" s="38"/>
      <c r="I200" s="38"/>
      <c r="J200" s="38"/>
      <c r="K200" s="38"/>
    </row>
    <row r="201" spans="7:11" x14ac:dyDescent="0.35">
      <c r="G201" s="38"/>
      <c r="H201" s="38"/>
      <c r="I201" s="38"/>
      <c r="J201" s="38"/>
      <c r="K201" s="38"/>
    </row>
    <row r="202" spans="7:11" x14ac:dyDescent="0.35">
      <c r="G202" s="38"/>
      <c r="H202" s="38"/>
      <c r="I202" s="38"/>
      <c r="J202" s="38"/>
      <c r="K202" s="38"/>
    </row>
    <row r="203" spans="7:11" x14ac:dyDescent="0.35">
      <c r="G203" s="38"/>
      <c r="H203" s="38"/>
      <c r="I203" s="38"/>
      <c r="J203" s="38"/>
      <c r="K203" s="38"/>
    </row>
    <row r="204" spans="7:11" x14ac:dyDescent="0.35">
      <c r="G204" s="38"/>
      <c r="H204" s="38"/>
      <c r="I204" s="38"/>
      <c r="J204" s="38"/>
      <c r="K204" s="38"/>
    </row>
    <row r="205" spans="7:11" x14ac:dyDescent="0.35">
      <c r="G205" s="38"/>
      <c r="H205" s="38"/>
      <c r="I205" s="38"/>
      <c r="J205" s="38"/>
      <c r="K205" s="38"/>
    </row>
    <row r="206" spans="7:11" x14ac:dyDescent="0.35">
      <c r="G206" s="38"/>
      <c r="H206" s="38"/>
      <c r="I206" s="38"/>
      <c r="J206" s="38"/>
      <c r="K206" s="38"/>
    </row>
    <row r="207" spans="7:11" x14ac:dyDescent="0.35">
      <c r="G207" s="38"/>
      <c r="H207" s="38"/>
      <c r="I207" s="38"/>
      <c r="J207" s="38"/>
      <c r="K207" s="38"/>
    </row>
    <row r="208" spans="7:11" x14ac:dyDescent="0.35">
      <c r="G208" s="38"/>
      <c r="H208" s="38"/>
      <c r="I208" s="38"/>
      <c r="J208" s="38"/>
      <c r="K208" s="38"/>
    </row>
    <row r="209" spans="7:11" x14ac:dyDescent="0.35">
      <c r="G209" s="38"/>
      <c r="H209" s="38"/>
      <c r="I209" s="38"/>
      <c r="J209" s="38"/>
      <c r="K209" s="38"/>
    </row>
    <row r="210" spans="7:11" x14ac:dyDescent="0.35">
      <c r="G210" s="38"/>
      <c r="H210" s="38"/>
      <c r="I210" s="38"/>
      <c r="J210" s="38"/>
      <c r="K210" s="38"/>
    </row>
    <row r="211" spans="7:11" x14ac:dyDescent="0.35">
      <c r="G211" s="38"/>
      <c r="H211" s="38"/>
      <c r="I211" s="38"/>
      <c r="J211" s="38"/>
      <c r="K211" s="38"/>
    </row>
    <row r="212" spans="7:11" x14ac:dyDescent="0.35">
      <c r="G212" s="38"/>
      <c r="H212" s="38"/>
      <c r="I212" s="38"/>
      <c r="J212" s="38"/>
      <c r="K212" s="38"/>
    </row>
    <row r="213" spans="7:11" x14ac:dyDescent="0.35">
      <c r="G213" s="38"/>
      <c r="H213" s="38"/>
      <c r="I213" s="38"/>
      <c r="J213" s="38"/>
      <c r="K213" s="38"/>
    </row>
    <row r="214" spans="7:11" x14ac:dyDescent="0.35">
      <c r="G214" s="38"/>
      <c r="H214" s="38"/>
      <c r="I214" s="38"/>
      <c r="J214" s="38"/>
      <c r="K214" s="38"/>
    </row>
    <row r="215" spans="7:11" x14ac:dyDescent="0.35">
      <c r="G215" s="38"/>
      <c r="H215" s="38"/>
      <c r="I215" s="38"/>
      <c r="J215" s="38"/>
      <c r="K215" s="38"/>
    </row>
    <row r="216" spans="7:11" x14ac:dyDescent="0.35">
      <c r="G216" s="38"/>
      <c r="H216" s="38"/>
      <c r="I216" s="38"/>
      <c r="J216" s="38"/>
      <c r="K216" s="38"/>
    </row>
    <row r="217" spans="7:11" x14ac:dyDescent="0.35">
      <c r="G217" s="38"/>
      <c r="H217" s="38"/>
      <c r="I217" s="38"/>
      <c r="J217" s="38"/>
      <c r="K217" s="38"/>
    </row>
    <row r="218" spans="7:11" x14ac:dyDescent="0.35">
      <c r="G218" s="38"/>
      <c r="H218" s="38"/>
      <c r="I218" s="38"/>
      <c r="J218" s="38"/>
      <c r="K218" s="38"/>
    </row>
    <row r="219" spans="7:11" x14ac:dyDescent="0.35">
      <c r="G219" s="38"/>
      <c r="H219" s="38"/>
      <c r="I219" s="38"/>
      <c r="J219" s="38"/>
      <c r="K219" s="38"/>
    </row>
    <row r="220" spans="7:11" x14ac:dyDescent="0.35">
      <c r="G220" s="38"/>
      <c r="H220" s="38"/>
      <c r="I220" s="38"/>
      <c r="J220" s="38"/>
      <c r="K220" s="38"/>
    </row>
    <row r="221" spans="7:11" x14ac:dyDescent="0.35">
      <c r="G221" s="38"/>
      <c r="H221" s="38"/>
      <c r="I221" s="38"/>
      <c r="J221" s="38"/>
      <c r="K221" s="38"/>
    </row>
    <row r="222" spans="7:11" x14ac:dyDescent="0.35">
      <c r="G222" s="38"/>
      <c r="H222" s="38"/>
      <c r="I222" s="38"/>
      <c r="J222" s="38"/>
      <c r="K222" s="38"/>
    </row>
    <row r="223" spans="7:11" x14ac:dyDescent="0.35">
      <c r="G223" s="38"/>
      <c r="H223" s="38"/>
      <c r="I223" s="38"/>
      <c r="J223" s="38"/>
      <c r="K223" s="38"/>
    </row>
    <row r="224" spans="7:11" x14ac:dyDescent="0.35">
      <c r="G224" s="38"/>
      <c r="H224" s="38"/>
      <c r="I224" s="38"/>
      <c r="J224" s="38"/>
      <c r="K224" s="38"/>
    </row>
    <row r="225" spans="7:11" x14ac:dyDescent="0.35">
      <c r="G225" s="38"/>
      <c r="H225" s="38"/>
      <c r="I225" s="38"/>
      <c r="J225" s="38"/>
      <c r="K225" s="38"/>
    </row>
    <row r="226" spans="7:11" x14ac:dyDescent="0.35">
      <c r="G226" s="38"/>
      <c r="H226" s="38"/>
      <c r="I226" s="38"/>
      <c r="J226" s="38"/>
      <c r="K226" s="38"/>
    </row>
    <row r="227" spans="7:11" x14ac:dyDescent="0.35">
      <c r="G227" s="38"/>
      <c r="H227" s="38"/>
      <c r="I227" s="38"/>
      <c r="J227" s="38"/>
      <c r="K227" s="38"/>
    </row>
    <row r="228" spans="7:11" x14ac:dyDescent="0.35">
      <c r="G228" s="38"/>
      <c r="H228" s="38"/>
      <c r="I228" s="38"/>
      <c r="J228" s="38"/>
      <c r="K228" s="38"/>
    </row>
    <row r="229" spans="7:11" x14ac:dyDescent="0.35">
      <c r="G229" s="38"/>
      <c r="H229" s="38"/>
      <c r="I229" s="38"/>
      <c r="J229" s="38"/>
      <c r="K229" s="38"/>
    </row>
    <row r="230" spans="7:11" x14ac:dyDescent="0.35">
      <c r="G230" s="38"/>
      <c r="H230" s="38"/>
      <c r="I230" s="38"/>
      <c r="J230" s="38"/>
      <c r="K230" s="38"/>
    </row>
    <row r="231" spans="7:11" x14ac:dyDescent="0.35">
      <c r="G231" s="38"/>
      <c r="H231" s="38"/>
      <c r="I231" s="38"/>
      <c r="J231" s="38"/>
      <c r="K231" s="38"/>
    </row>
    <row r="232" spans="7:11" x14ac:dyDescent="0.35">
      <c r="G232" s="38"/>
      <c r="H232" s="38"/>
      <c r="I232" s="38"/>
      <c r="J232" s="38"/>
      <c r="K232" s="38"/>
    </row>
    <row r="233" spans="7:11" x14ac:dyDescent="0.35">
      <c r="G233" s="38"/>
      <c r="H233" s="38"/>
      <c r="I233" s="38"/>
      <c r="J233" s="38"/>
      <c r="K233" s="38"/>
    </row>
    <row r="234" spans="7:11" x14ac:dyDescent="0.35">
      <c r="G234" s="38"/>
      <c r="H234" s="38"/>
      <c r="I234" s="38"/>
      <c r="J234" s="38"/>
      <c r="K234" s="38"/>
    </row>
    <row r="235" spans="7:11" x14ac:dyDescent="0.35">
      <c r="G235" s="38"/>
      <c r="H235" s="38"/>
      <c r="I235" s="38"/>
      <c r="J235" s="38"/>
      <c r="K235" s="38"/>
    </row>
    <row r="236" spans="7:11" x14ac:dyDescent="0.35">
      <c r="G236" s="38"/>
      <c r="H236" s="38"/>
      <c r="I236" s="38"/>
      <c r="J236" s="38"/>
      <c r="K236" s="38"/>
    </row>
    <row r="237" spans="7:11" x14ac:dyDescent="0.35">
      <c r="G237" s="38"/>
      <c r="H237" s="38"/>
      <c r="I237" s="38"/>
      <c r="J237" s="38"/>
      <c r="K237" s="38"/>
    </row>
    <row r="238" spans="7:11" x14ac:dyDescent="0.35">
      <c r="G238" s="38"/>
      <c r="H238" s="38"/>
      <c r="I238" s="38"/>
      <c r="J238" s="38"/>
      <c r="K238" s="38"/>
    </row>
    <row r="239" spans="7:11" x14ac:dyDescent="0.35">
      <c r="G239" s="38"/>
      <c r="H239" s="38"/>
      <c r="I239" s="38"/>
      <c r="J239" s="38"/>
      <c r="K239" s="38"/>
    </row>
    <row r="240" spans="7:11" x14ac:dyDescent="0.35">
      <c r="G240" s="38"/>
      <c r="H240" s="38"/>
      <c r="I240" s="38"/>
      <c r="J240" s="38"/>
      <c r="K240" s="38"/>
    </row>
    <row r="241" spans="7:11" x14ac:dyDescent="0.35">
      <c r="G241" s="38"/>
      <c r="H241" s="38"/>
      <c r="I241" s="38"/>
      <c r="J241" s="38"/>
      <c r="K241" s="38"/>
    </row>
    <row r="242" spans="7:11" x14ac:dyDescent="0.35">
      <c r="G242" s="38"/>
      <c r="H242" s="38"/>
      <c r="I242" s="38"/>
      <c r="J242" s="38"/>
      <c r="K242" s="38"/>
    </row>
    <row r="243" spans="7:11" x14ac:dyDescent="0.35">
      <c r="G243" s="38"/>
      <c r="H243" s="38"/>
      <c r="I243" s="38"/>
      <c r="J243" s="38"/>
      <c r="K243" s="38"/>
    </row>
    <row r="244" spans="7:11" x14ac:dyDescent="0.35">
      <c r="G244" s="38"/>
      <c r="H244" s="38"/>
      <c r="I244" s="38"/>
      <c r="J244" s="38"/>
      <c r="K244" s="38"/>
    </row>
    <row r="245" spans="7:11" x14ac:dyDescent="0.35">
      <c r="G245" s="38"/>
      <c r="H245" s="38"/>
      <c r="I245" s="38"/>
      <c r="J245" s="38"/>
      <c r="K245" s="38"/>
    </row>
    <row r="246" spans="7:11" x14ac:dyDescent="0.35">
      <c r="G246" s="38"/>
      <c r="H246" s="38"/>
      <c r="I246" s="38"/>
      <c r="J246" s="38"/>
      <c r="K246" s="38"/>
    </row>
    <row r="247" spans="7:11" x14ac:dyDescent="0.35">
      <c r="G247" s="38"/>
      <c r="H247" s="38"/>
      <c r="I247" s="38"/>
      <c r="J247" s="38"/>
      <c r="K247" s="38"/>
    </row>
    <row r="248" spans="7:11" x14ac:dyDescent="0.35">
      <c r="G248" s="38"/>
      <c r="H248" s="38"/>
      <c r="I248" s="38"/>
      <c r="J248" s="38"/>
      <c r="K248" s="38"/>
    </row>
    <row r="249" spans="7:11" x14ac:dyDescent="0.35">
      <c r="G249" s="38"/>
      <c r="H249" s="38"/>
      <c r="I249" s="38"/>
      <c r="J249" s="38"/>
      <c r="K249" s="38"/>
    </row>
    <row r="250" spans="7:11" x14ac:dyDescent="0.35">
      <c r="G250" s="38"/>
      <c r="H250" s="38"/>
      <c r="I250" s="38"/>
      <c r="J250" s="38"/>
      <c r="K250" s="38"/>
    </row>
    <row r="251" spans="7:11" x14ac:dyDescent="0.35">
      <c r="G251" s="38"/>
      <c r="H251" s="38"/>
      <c r="I251" s="38"/>
      <c r="J251" s="38"/>
      <c r="K251" s="38"/>
    </row>
    <row r="252" spans="7:11" x14ac:dyDescent="0.35">
      <c r="G252" s="38"/>
      <c r="H252" s="38"/>
      <c r="I252" s="38"/>
      <c r="J252" s="38"/>
      <c r="K252" s="38"/>
    </row>
    <row r="253" spans="7:11" x14ac:dyDescent="0.35">
      <c r="G253" s="38"/>
      <c r="H253" s="38"/>
      <c r="I253" s="38"/>
      <c r="J253" s="38"/>
      <c r="K253" s="38"/>
    </row>
    <row r="254" spans="7:11" x14ac:dyDescent="0.35">
      <c r="G254" s="38"/>
      <c r="H254" s="38"/>
      <c r="I254" s="38"/>
      <c r="J254" s="38"/>
      <c r="K254" s="38"/>
    </row>
    <row r="255" spans="7:11" x14ac:dyDescent="0.35">
      <c r="G255" s="38"/>
      <c r="H255" s="38"/>
      <c r="I255" s="38"/>
      <c r="J255" s="38"/>
      <c r="K255" s="38"/>
    </row>
    <row r="256" spans="7:11" x14ac:dyDescent="0.35">
      <c r="G256" s="38"/>
      <c r="H256" s="38"/>
      <c r="I256" s="38"/>
      <c r="J256" s="38"/>
      <c r="K256" s="38"/>
    </row>
    <row r="257" spans="7:11" x14ac:dyDescent="0.35">
      <c r="G257" s="38"/>
      <c r="H257" s="38"/>
      <c r="I257" s="38"/>
      <c r="J257" s="38"/>
      <c r="K257" s="38"/>
    </row>
    <row r="258" spans="7:11" x14ac:dyDescent="0.35">
      <c r="G258" s="38"/>
      <c r="H258" s="38"/>
      <c r="I258" s="38"/>
      <c r="J258" s="38"/>
      <c r="K258" s="38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T77"/>
  <sheetViews>
    <sheetView topLeftCell="A39" workbookViewId="0">
      <selection activeCell="A39" sqref="A1:XFD1048576"/>
    </sheetView>
  </sheetViews>
  <sheetFormatPr defaultColWidth="9.1796875" defaultRowHeight="14.5" x14ac:dyDescent="0.35"/>
  <cols>
    <col min="1" max="4" width="9.1796875" style="2"/>
    <col min="5" max="6" width="9.1796875" style="2" customWidth="1"/>
    <col min="7" max="7" width="20.54296875" style="2" bestFit="1" customWidth="1"/>
    <col min="8" max="8" width="25" style="2" bestFit="1" customWidth="1"/>
    <col min="9" max="9" width="13.54296875" style="2" bestFit="1" customWidth="1"/>
    <col min="10" max="10" width="11" style="2" bestFit="1" customWidth="1"/>
    <col min="11" max="11" width="9.1796875" style="2" customWidth="1"/>
    <col min="12" max="16384" width="9.1796875" style="2"/>
  </cols>
  <sheetData>
    <row r="1" spans="1:20" x14ac:dyDescent="0.35">
      <c r="A1" s="1" t="s">
        <v>0</v>
      </c>
      <c r="L1" s="2" t="s">
        <v>681</v>
      </c>
    </row>
    <row r="2" spans="1:2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863</v>
      </c>
      <c r="M2" s="2" t="s">
        <v>864</v>
      </c>
      <c r="N2" s="2" t="s">
        <v>865</v>
      </c>
    </row>
    <row r="3" spans="1:20" x14ac:dyDescent="0.35">
      <c r="A3">
        <v>1</v>
      </c>
      <c r="B3" s="4">
        <f t="shared" ref="B3:B40" si="0">C3/1000</f>
        <v>0.02</v>
      </c>
      <c r="C3">
        <v>20</v>
      </c>
      <c r="D3" s="2">
        <v>153</v>
      </c>
      <c r="E3" s="112">
        <v>0.50890000000000002</v>
      </c>
      <c r="F3" s="5" t="s">
        <v>11</v>
      </c>
      <c r="G3" t="s">
        <v>12</v>
      </c>
      <c r="H3" s="6">
        <v>45413</v>
      </c>
      <c r="I3" s="6">
        <v>51501</v>
      </c>
      <c r="J3" s="3"/>
      <c r="L3" s="2">
        <v>1</v>
      </c>
      <c r="M3" s="2">
        <v>26.14</v>
      </c>
      <c r="N3" s="2">
        <v>4.5669000000000004</v>
      </c>
      <c r="S3" s="111"/>
      <c r="T3" s="117"/>
    </row>
    <row r="4" spans="1:20" x14ac:dyDescent="0.35">
      <c r="A4">
        <v>1</v>
      </c>
      <c r="B4" s="4">
        <f t="shared" si="0"/>
        <v>2.9000000000000001E-2</v>
      </c>
      <c r="C4">
        <v>29</v>
      </c>
      <c r="D4" s="2">
        <v>153</v>
      </c>
      <c r="E4" s="112">
        <v>0.7369</v>
      </c>
      <c r="F4" s="5" t="s">
        <v>13</v>
      </c>
      <c r="G4" t="s">
        <v>14</v>
      </c>
      <c r="H4" s="6">
        <v>45413</v>
      </c>
      <c r="I4" s="6">
        <v>51501</v>
      </c>
      <c r="J4" s="3"/>
      <c r="S4" s="111"/>
      <c r="T4" s="117"/>
    </row>
    <row r="5" spans="1:20" x14ac:dyDescent="0.35">
      <c r="A5">
        <v>1</v>
      </c>
      <c r="B5" s="4">
        <f t="shared" si="0"/>
        <v>0.03</v>
      </c>
      <c r="C5">
        <v>30</v>
      </c>
      <c r="D5" s="2">
        <v>153</v>
      </c>
      <c r="E5" s="112">
        <v>0.7631</v>
      </c>
      <c r="F5" s="5" t="s">
        <v>15</v>
      </c>
      <c r="G5" t="s">
        <v>16</v>
      </c>
      <c r="H5" s="6">
        <v>45413</v>
      </c>
      <c r="I5" s="6">
        <v>51501</v>
      </c>
      <c r="J5" s="3"/>
      <c r="S5" s="111"/>
      <c r="T5" s="117"/>
    </row>
    <row r="6" spans="1:20" x14ac:dyDescent="0.35">
      <c r="A6">
        <v>1</v>
      </c>
      <c r="B6" s="4">
        <f t="shared" si="0"/>
        <v>0.04</v>
      </c>
      <c r="C6">
        <v>40</v>
      </c>
      <c r="D6" s="2">
        <v>153</v>
      </c>
      <c r="E6" s="112">
        <v>1.0175000000000001</v>
      </c>
      <c r="F6" s="5" t="s">
        <v>17</v>
      </c>
      <c r="G6" t="s">
        <v>18</v>
      </c>
      <c r="H6" s="6">
        <v>45413</v>
      </c>
      <c r="I6" s="6">
        <v>51501</v>
      </c>
      <c r="J6" s="3"/>
      <c r="S6" s="111"/>
      <c r="T6" s="117"/>
    </row>
    <row r="7" spans="1:20" x14ac:dyDescent="0.35">
      <c r="A7">
        <v>1</v>
      </c>
      <c r="B7" s="4">
        <f t="shared" si="0"/>
        <v>0.05</v>
      </c>
      <c r="C7">
        <v>50</v>
      </c>
      <c r="D7" s="2">
        <v>153</v>
      </c>
      <c r="E7" s="112">
        <v>1.2723</v>
      </c>
      <c r="F7" s="5" t="s">
        <v>19</v>
      </c>
      <c r="G7" t="s">
        <v>20</v>
      </c>
      <c r="H7" s="6">
        <v>45413</v>
      </c>
      <c r="I7" s="6">
        <v>51501</v>
      </c>
      <c r="J7" s="3"/>
      <c r="S7" s="111"/>
      <c r="T7" s="117"/>
    </row>
    <row r="8" spans="1:20" x14ac:dyDescent="0.35">
      <c r="A8">
        <v>1</v>
      </c>
      <c r="B8" s="4">
        <f t="shared" si="0"/>
        <v>0.1</v>
      </c>
      <c r="C8">
        <v>100</v>
      </c>
      <c r="D8" s="2">
        <v>153</v>
      </c>
      <c r="E8" s="112">
        <v>2.5442</v>
      </c>
      <c r="F8" s="5" t="s">
        <v>21</v>
      </c>
      <c r="G8" t="s">
        <v>22</v>
      </c>
      <c r="H8" s="6">
        <v>45413</v>
      </c>
      <c r="I8" s="6">
        <v>51501</v>
      </c>
      <c r="J8" s="3"/>
      <c r="S8" s="111"/>
      <c r="T8" s="117"/>
    </row>
    <row r="9" spans="1:20" x14ac:dyDescent="0.35">
      <c r="A9">
        <v>1</v>
      </c>
      <c r="B9" s="4">
        <f t="shared" si="0"/>
        <v>0.2</v>
      </c>
      <c r="C9">
        <v>200</v>
      </c>
      <c r="D9" s="2">
        <v>153</v>
      </c>
      <c r="E9" s="112">
        <v>4.391</v>
      </c>
      <c r="F9" s="5" t="s">
        <v>23</v>
      </c>
      <c r="G9" t="s">
        <v>24</v>
      </c>
      <c r="H9" s="6">
        <v>45413</v>
      </c>
      <c r="I9" s="6">
        <v>51501</v>
      </c>
      <c r="J9" s="3"/>
      <c r="S9" s="111"/>
      <c r="T9" s="117"/>
    </row>
    <row r="10" spans="1:20" x14ac:dyDescent="0.35">
      <c r="A10">
        <v>1</v>
      </c>
      <c r="B10" s="4">
        <f t="shared" si="0"/>
        <v>0.25</v>
      </c>
      <c r="C10">
        <v>250</v>
      </c>
      <c r="D10" s="2">
        <v>153</v>
      </c>
      <c r="E10" s="112">
        <v>5.4886999999999997</v>
      </c>
      <c r="F10" s="5" t="s">
        <v>25</v>
      </c>
      <c r="G10" t="s">
        <v>26</v>
      </c>
      <c r="H10" s="6">
        <v>45413</v>
      </c>
      <c r="I10" s="6">
        <v>51501</v>
      </c>
      <c r="J10" s="3"/>
      <c r="S10" s="111"/>
      <c r="T10" s="117"/>
    </row>
    <row r="11" spans="1:20" x14ac:dyDescent="0.35">
      <c r="A11">
        <v>1</v>
      </c>
      <c r="B11" s="4">
        <f t="shared" si="0"/>
        <v>0.3</v>
      </c>
      <c r="C11">
        <v>300</v>
      </c>
      <c r="D11" s="2">
        <v>153</v>
      </c>
      <c r="E11" s="112">
        <v>6.5858999999999996</v>
      </c>
      <c r="F11" s="5" t="s">
        <v>27</v>
      </c>
      <c r="G11" t="s">
        <v>28</v>
      </c>
      <c r="H11" s="6">
        <v>45413</v>
      </c>
      <c r="I11" s="6">
        <v>51501</v>
      </c>
      <c r="J11" s="3"/>
      <c r="S11" s="111"/>
      <c r="T11" s="117"/>
    </row>
    <row r="12" spans="1:20" x14ac:dyDescent="0.35">
      <c r="A12">
        <v>1</v>
      </c>
      <c r="B12" s="4">
        <f t="shared" si="0"/>
        <v>0.34100000000000003</v>
      </c>
      <c r="C12">
        <v>341</v>
      </c>
      <c r="D12" s="2">
        <v>153</v>
      </c>
      <c r="E12" s="112">
        <v>7.4863</v>
      </c>
      <c r="F12" s="5" t="s">
        <v>29</v>
      </c>
      <c r="G12" t="s">
        <v>30</v>
      </c>
      <c r="H12" s="6">
        <v>45413</v>
      </c>
      <c r="I12" s="6">
        <v>51501</v>
      </c>
      <c r="J12" s="3"/>
      <c r="S12" s="111"/>
      <c r="T12" s="117"/>
    </row>
    <row r="13" spans="1:20" x14ac:dyDescent="0.35">
      <c r="A13">
        <v>1</v>
      </c>
      <c r="B13" s="4">
        <f t="shared" si="0"/>
        <v>0.35</v>
      </c>
      <c r="C13">
        <v>350</v>
      </c>
      <c r="D13" s="2">
        <v>153</v>
      </c>
      <c r="E13" s="112">
        <v>7.5279999999999996</v>
      </c>
      <c r="F13" s="5" t="s">
        <v>31</v>
      </c>
      <c r="G13" t="s">
        <v>32</v>
      </c>
      <c r="H13" s="6">
        <v>45413</v>
      </c>
      <c r="I13" s="6">
        <v>51501</v>
      </c>
      <c r="J13" s="3"/>
      <c r="S13" s="111"/>
      <c r="T13" s="117"/>
    </row>
    <row r="14" spans="1:20" x14ac:dyDescent="0.35">
      <c r="A14">
        <v>1</v>
      </c>
      <c r="B14" s="4">
        <f t="shared" si="0"/>
        <v>0.36</v>
      </c>
      <c r="C14">
        <v>360</v>
      </c>
      <c r="D14" s="2">
        <v>153</v>
      </c>
      <c r="E14" s="112">
        <v>7.7252000000000001</v>
      </c>
      <c r="F14" s="5" t="s">
        <v>33</v>
      </c>
      <c r="G14" t="s">
        <v>34</v>
      </c>
      <c r="H14" s="6">
        <v>45413</v>
      </c>
      <c r="I14" s="6">
        <v>51501</v>
      </c>
      <c r="J14" s="3"/>
      <c r="S14" s="111"/>
      <c r="T14" s="117"/>
    </row>
    <row r="15" spans="1:20" x14ac:dyDescent="0.35">
      <c r="A15">
        <v>1</v>
      </c>
      <c r="B15" s="4">
        <f t="shared" si="0"/>
        <v>0.375</v>
      </c>
      <c r="C15">
        <v>375</v>
      </c>
      <c r="D15" s="2">
        <v>153</v>
      </c>
      <c r="E15" s="112">
        <v>8.0670999999999999</v>
      </c>
      <c r="F15" s="5" t="s">
        <v>35</v>
      </c>
      <c r="G15" t="s">
        <v>36</v>
      </c>
      <c r="H15" s="6">
        <v>45413</v>
      </c>
      <c r="I15" s="6">
        <v>51501</v>
      </c>
      <c r="J15" s="3"/>
      <c r="S15" s="111"/>
      <c r="T15" s="117"/>
    </row>
    <row r="16" spans="1:20" x14ac:dyDescent="0.35">
      <c r="A16">
        <v>1</v>
      </c>
      <c r="B16" s="4">
        <f t="shared" si="0"/>
        <v>0.45</v>
      </c>
      <c r="C16">
        <v>450</v>
      </c>
      <c r="D16" s="2">
        <v>153</v>
      </c>
      <c r="E16" s="112">
        <v>9.8796999999999997</v>
      </c>
      <c r="F16" s="5" t="s">
        <v>37</v>
      </c>
      <c r="G16" t="s">
        <v>38</v>
      </c>
      <c r="H16" s="6">
        <v>45413</v>
      </c>
      <c r="I16" s="6">
        <v>51501</v>
      </c>
      <c r="J16" s="3"/>
      <c r="S16" s="111"/>
      <c r="T16" s="117"/>
    </row>
    <row r="17" spans="1:20" x14ac:dyDescent="0.35">
      <c r="A17">
        <v>1</v>
      </c>
      <c r="B17" s="4">
        <f t="shared" si="0"/>
        <v>0.48</v>
      </c>
      <c r="C17">
        <v>480</v>
      </c>
      <c r="D17" s="2">
        <v>153</v>
      </c>
      <c r="E17" s="112">
        <v>10.431800000000001</v>
      </c>
      <c r="F17" s="5" t="s">
        <v>39</v>
      </c>
      <c r="G17" t="s">
        <v>40</v>
      </c>
      <c r="H17" s="6">
        <v>45413</v>
      </c>
      <c r="I17" s="6">
        <v>51501</v>
      </c>
      <c r="J17" s="3"/>
      <c r="S17" s="111"/>
      <c r="T17" s="117"/>
    </row>
    <row r="18" spans="1:20" x14ac:dyDescent="0.35">
      <c r="A18">
        <v>1</v>
      </c>
      <c r="B18" s="4">
        <f t="shared" si="0"/>
        <v>0.5</v>
      </c>
      <c r="C18">
        <v>500</v>
      </c>
      <c r="D18" s="2">
        <v>153</v>
      </c>
      <c r="E18" s="112">
        <v>10.7546</v>
      </c>
      <c r="F18" s="5" t="s">
        <v>41</v>
      </c>
      <c r="G18" t="s">
        <v>42</v>
      </c>
      <c r="H18" s="6">
        <v>45413</v>
      </c>
      <c r="I18" s="6">
        <v>51501</v>
      </c>
      <c r="J18" s="3"/>
      <c r="S18" s="111"/>
      <c r="T18" s="117"/>
    </row>
    <row r="19" spans="1:20" x14ac:dyDescent="0.35">
      <c r="A19">
        <v>1</v>
      </c>
      <c r="B19" s="4">
        <f t="shared" si="0"/>
        <v>0.68</v>
      </c>
      <c r="C19">
        <v>680</v>
      </c>
      <c r="D19" s="2">
        <v>153</v>
      </c>
      <c r="E19" s="112">
        <v>13.306800000000001</v>
      </c>
      <c r="F19" s="5" t="s">
        <v>43</v>
      </c>
      <c r="G19" t="s">
        <v>44</v>
      </c>
      <c r="H19" s="6">
        <v>45413</v>
      </c>
      <c r="I19" s="6">
        <v>51501</v>
      </c>
      <c r="J19" s="3"/>
      <c r="S19" s="111"/>
      <c r="T19" s="117"/>
    </row>
    <row r="20" spans="1:20" customFormat="1" x14ac:dyDescent="0.35">
      <c r="A20">
        <v>1</v>
      </c>
      <c r="B20" s="4">
        <f t="shared" si="0"/>
        <v>0.7</v>
      </c>
      <c r="C20">
        <v>700</v>
      </c>
      <c r="D20" s="2">
        <v>153</v>
      </c>
      <c r="E20" s="112">
        <v>13.6996</v>
      </c>
      <c r="F20" s="5" t="s">
        <v>45</v>
      </c>
      <c r="G20" t="s">
        <v>46</v>
      </c>
      <c r="H20" s="6">
        <v>45413</v>
      </c>
      <c r="I20" s="6">
        <v>51501</v>
      </c>
      <c r="J20" s="3"/>
      <c r="K20" s="2"/>
      <c r="R20" s="2"/>
      <c r="S20" s="111"/>
      <c r="T20" s="117"/>
    </row>
    <row r="21" spans="1:20" customFormat="1" x14ac:dyDescent="0.35">
      <c r="A21">
        <v>1</v>
      </c>
      <c r="B21" s="4">
        <f t="shared" si="0"/>
        <v>0.71</v>
      </c>
      <c r="C21">
        <v>710</v>
      </c>
      <c r="D21" s="2">
        <v>153</v>
      </c>
      <c r="E21" s="112">
        <v>13.893700000000001</v>
      </c>
      <c r="F21" s="5" t="s">
        <v>47</v>
      </c>
      <c r="G21" t="s">
        <v>48</v>
      </c>
      <c r="H21" s="6">
        <v>45413</v>
      </c>
      <c r="I21" s="6">
        <v>51501</v>
      </c>
      <c r="J21" s="3"/>
      <c r="K21" s="2"/>
      <c r="R21" s="2"/>
      <c r="S21" s="111"/>
      <c r="T21" s="117"/>
    </row>
    <row r="22" spans="1:20" customFormat="1" x14ac:dyDescent="0.35">
      <c r="A22">
        <v>1</v>
      </c>
      <c r="B22" s="4">
        <f t="shared" si="0"/>
        <v>0.72</v>
      </c>
      <c r="C22">
        <v>720</v>
      </c>
      <c r="D22" s="2">
        <v>153</v>
      </c>
      <c r="E22" s="112">
        <v>14.0886</v>
      </c>
      <c r="F22" s="5" t="s">
        <v>49</v>
      </c>
      <c r="G22" t="s">
        <v>50</v>
      </c>
      <c r="H22" s="6">
        <v>45413</v>
      </c>
      <c r="I22" s="6">
        <v>51501</v>
      </c>
      <c r="J22" s="3"/>
      <c r="K22" s="2"/>
      <c r="R22" s="2"/>
      <c r="S22" s="111"/>
      <c r="T22" s="117"/>
    </row>
    <row r="23" spans="1:20" customFormat="1" x14ac:dyDescent="0.35">
      <c r="A23">
        <v>1</v>
      </c>
      <c r="B23" s="4">
        <f t="shared" si="0"/>
        <v>0.73</v>
      </c>
      <c r="C23">
        <v>730</v>
      </c>
      <c r="D23" s="2">
        <v>153</v>
      </c>
      <c r="E23" s="112">
        <v>14.284800000000001</v>
      </c>
      <c r="F23" s="5" t="s">
        <v>51</v>
      </c>
      <c r="G23" t="s">
        <v>52</v>
      </c>
      <c r="H23" s="6">
        <v>45413</v>
      </c>
      <c r="I23" s="6">
        <v>51501</v>
      </c>
      <c r="J23" s="3"/>
      <c r="K23" s="2"/>
      <c r="R23" s="2"/>
      <c r="S23" s="111"/>
      <c r="T23" s="117"/>
    </row>
    <row r="24" spans="1:20" customFormat="1" x14ac:dyDescent="0.35">
      <c r="A24">
        <v>1</v>
      </c>
      <c r="B24" s="4">
        <f t="shared" si="0"/>
        <v>0.75</v>
      </c>
      <c r="C24">
        <v>750</v>
      </c>
      <c r="D24" s="2">
        <v>153</v>
      </c>
      <c r="E24" s="112">
        <v>14.6782</v>
      </c>
      <c r="F24" s="5" t="s">
        <v>53</v>
      </c>
      <c r="G24" t="s">
        <v>54</v>
      </c>
      <c r="H24" s="6">
        <v>45413</v>
      </c>
      <c r="I24" s="6">
        <v>51501</v>
      </c>
      <c r="J24" s="3"/>
      <c r="K24" s="2"/>
      <c r="R24" s="2"/>
      <c r="S24" s="111"/>
      <c r="T24" s="117"/>
    </row>
    <row r="25" spans="1:20" customFormat="1" x14ac:dyDescent="0.35">
      <c r="A25">
        <v>1</v>
      </c>
      <c r="B25" s="4">
        <f t="shared" si="0"/>
        <v>1</v>
      </c>
      <c r="C25">
        <v>1000</v>
      </c>
      <c r="D25" s="2">
        <v>153</v>
      </c>
      <c r="E25" s="112">
        <v>18.1525</v>
      </c>
      <c r="F25" s="5" t="s">
        <v>55</v>
      </c>
      <c r="G25" t="s">
        <v>56</v>
      </c>
      <c r="H25" s="6">
        <v>45413</v>
      </c>
      <c r="I25" s="6">
        <v>51501</v>
      </c>
      <c r="J25" s="3"/>
      <c r="K25" s="2"/>
      <c r="R25" s="2"/>
      <c r="S25" s="111"/>
      <c r="T25" s="117"/>
    </row>
    <row r="26" spans="1:20" customFormat="1" x14ac:dyDescent="0.35">
      <c r="A26">
        <v>1</v>
      </c>
      <c r="B26" s="4">
        <f t="shared" si="0"/>
        <v>1.1399999999999999</v>
      </c>
      <c r="C26">
        <v>1140</v>
      </c>
      <c r="D26" s="2">
        <v>153</v>
      </c>
      <c r="E26" s="112">
        <v>21.6646</v>
      </c>
      <c r="F26" s="5" t="s">
        <v>57</v>
      </c>
      <c r="G26" t="s">
        <v>58</v>
      </c>
      <c r="H26" s="6">
        <v>45413</v>
      </c>
      <c r="I26" s="6">
        <v>51501</v>
      </c>
      <c r="J26" s="3"/>
      <c r="K26" s="2"/>
      <c r="R26" s="2"/>
      <c r="S26" s="111"/>
      <c r="T26" s="117"/>
    </row>
    <row r="27" spans="1:20" customFormat="1" x14ac:dyDescent="0.35">
      <c r="A27">
        <v>1</v>
      </c>
      <c r="B27" s="4">
        <f t="shared" si="0"/>
        <v>1.5</v>
      </c>
      <c r="C27">
        <v>1500</v>
      </c>
      <c r="D27" s="2">
        <v>153</v>
      </c>
      <c r="E27" s="112">
        <v>28.094799999999999</v>
      </c>
      <c r="F27" s="5" t="s">
        <v>59</v>
      </c>
      <c r="G27" t="s">
        <v>60</v>
      </c>
      <c r="H27" s="6">
        <v>45413</v>
      </c>
      <c r="I27" s="6">
        <v>51501</v>
      </c>
      <c r="J27" s="3"/>
      <c r="K27" s="2"/>
      <c r="R27" s="2"/>
      <c r="S27" s="111"/>
      <c r="T27" s="117"/>
    </row>
    <row r="28" spans="1:20" customFormat="1" x14ac:dyDescent="0.35">
      <c r="A28">
        <v>1</v>
      </c>
      <c r="B28" s="4">
        <f t="shared" si="0"/>
        <v>1.75</v>
      </c>
      <c r="C28">
        <v>1750</v>
      </c>
      <c r="D28" s="2">
        <v>153</v>
      </c>
      <c r="E28" s="112">
        <v>32.779699999999998</v>
      </c>
      <c r="F28" s="5" t="s">
        <v>61</v>
      </c>
      <c r="G28" t="s">
        <v>62</v>
      </c>
      <c r="H28" s="6">
        <v>45413</v>
      </c>
      <c r="I28" s="6">
        <v>51501</v>
      </c>
      <c r="J28" s="3"/>
      <c r="K28" s="2"/>
      <c r="R28" s="2"/>
      <c r="S28" s="111"/>
      <c r="T28" s="117"/>
    </row>
    <row r="29" spans="1:20" customFormat="1" x14ac:dyDescent="0.35">
      <c r="A29">
        <v>1</v>
      </c>
      <c r="B29" s="4">
        <f t="shared" si="0"/>
        <v>2</v>
      </c>
      <c r="C29">
        <v>2000</v>
      </c>
      <c r="D29" s="2">
        <v>153</v>
      </c>
      <c r="E29" s="112">
        <v>37.460599999999999</v>
      </c>
      <c r="F29" s="5" t="s">
        <v>63</v>
      </c>
      <c r="G29" t="s">
        <v>64</v>
      </c>
      <c r="H29" s="6">
        <v>45413</v>
      </c>
      <c r="I29" s="6">
        <v>51501</v>
      </c>
      <c r="J29" s="3"/>
      <c r="K29" s="2"/>
      <c r="R29" s="2"/>
      <c r="S29" s="111"/>
      <c r="T29" s="117"/>
    </row>
    <row r="30" spans="1:20" customFormat="1" x14ac:dyDescent="0.35">
      <c r="A30">
        <v>1</v>
      </c>
      <c r="B30" s="4">
        <f t="shared" si="0"/>
        <v>2</v>
      </c>
      <c r="C30">
        <v>2000</v>
      </c>
      <c r="D30" s="2">
        <v>153</v>
      </c>
      <c r="E30" s="112">
        <v>35.697299999999998</v>
      </c>
      <c r="F30" s="5" t="s">
        <v>65</v>
      </c>
      <c r="G30" t="s">
        <v>66</v>
      </c>
      <c r="H30" s="6">
        <v>45413</v>
      </c>
      <c r="I30" s="6">
        <v>51501</v>
      </c>
      <c r="J30" s="3"/>
      <c r="K30" s="2"/>
      <c r="R30" s="2"/>
      <c r="S30" s="111"/>
      <c r="T30" s="117"/>
    </row>
    <row r="31" spans="1:20" customFormat="1" x14ac:dyDescent="0.35">
      <c r="A31">
        <v>1</v>
      </c>
      <c r="B31" s="4">
        <f t="shared" si="0"/>
        <v>2.5</v>
      </c>
      <c r="C31">
        <v>2500</v>
      </c>
      <c r="D31" s="2">
        <v>153</v>
      </c>
      <c r="E31" s="112">
        <v>46.824199999999998</v>
      </c>
      <c r="F31" s="5" t="s">
        <v>67</v>
      </c>
      <c r="G31" t="s">
        <v>68</v>
      </c>
      <c r="H31" s="6">
        <v>45413</v>
      </c>
      <c r="I31" s="6">
        <v>51501</v>
      </c>
      <c r="J31" s="3"/>
      <c r="K31" s="2"/>
      <c r="R31" s="2"/>
      <c r="S31" s="111"/>
      <c r="T31" s="117"/>
    </row>
    <row r="32" spans="1:20" customFormat="1" x14ac:dyDescent="0.35">
      <c r="A32">
        <v>1</v>
      </c>
      <c r="B32" s="4">
        <f t="shared" si="0"/>
        <v>3</v>
      </c>
      <c r="C32">
        <v>3000</v>
      </c>
      <c r="D32" s="2">
        <v>153</v>
      </c>
      <c r="E32" s="112">
        <v>53.798900000000003</v>
      </c>
      <c r="F32" s="5" t="s">
        <v>69</v>
      </c>
      <c r="G32" t="s">
        <v>70</v>
      </c>
      <c r="H32" s="6">
        <v>45413</v>
      </c>
      <c r="I32" s="6">
        <v>51501</v>
      </c>
      <c r="J32" s="3"/>
      <c r="K32" s="2"/>
      <c r="R32" s="2"/>
      <c r="S32" s="111"/>
      <c r="T32" s="117"/>
    </row>
    <row r="33" spans="1:20" customFormat="1" x14ac:dyDescent="0.35">
      <c r="A33">
        <v>1</v>
      </c>
      <c r="B33" s="4">
        <f t="shared" si="0"/>
        <v>3.75</v>
      </c>
      <c r="C33">
        <v>3750</v>
      </c>
      <c r="D33" s="2">
        <v>153</v>
      </c>
      <c r="E33" s="112">
        <v>65.677899999999994</v>
      </c>
      <c r="F33" s="5" t="s">
        <v>71</v>
      </c>
      <c r="G33" t="s">
        <v>72</v>
      </c>
      <c r="H33" s="6">
        <v>45413</v>
      </c>
      <c r="I33" s="6">
        <v>51501</v>
      </c>
      <c r="J33" s="3"/>
      <c r="K33" s="2"/>
      <c r="R33" s="2"/>
      <c r="S33" s="111"/>
      <c r="T33" s="117"/>
    </row>
    <row r="34" spans="1:20" customFormat="1" x14ac:dyDescent="0.35">
      <c r="A34">
        <v>1</v>
      </c>
      <c r="B34" s="4">
        <f t="shared" si="0"/>
        <v>3.78</v>
      </c>
      <c r="C34">
        <v>3780</v>
      </c>
      <c r="D34" s="2">
        <v>153</v>
      </c>
      <c r="E34" s="112">
        <v>66.200699999999998</v>
      </c>
      <c r="F34" s="5" t="s">
        <v>73</v>
      </c>
      <c r="G34" t="s">
        <v>74</v>
      </c>
      <c r="H34" s="6">
        <v>45413</v>
      </c>
      <c r="I34" s="6">
        <v>51501</v>
      </c>
      <c r="J34" s="3"/>
      <c r="K34" s="2"/>
      <c r="R34" s="2"/>
      <c r="S34" s="111"/>
      <c r="T34" s="117"/>
    </row>
    <row r="35" spans="1:20" customFormat="1" x14ac:dyDescent="0.35">
      <c r="A35">
        <v>1</v>
      </c>
      <c r="B35" s="4">
        <f t="shared" si="0"/>
        <v>3.7850000000000001</v>
      </c>
      <c r="C35">
        <v>3785</v>
      </c>
      <c r="D35" s="2">
        <v>153</v>
      </c>
      <c r="E35" s="112">
        <v>66.286600000000007</v>
      </c>
      <c r="F35" s="5" t="s">
        <v>75</v>
      </c>
      <c r="G35" t="s">
        <v>76</v>
      </c>
      <c r="H35" s="6">
        <v>45413</v>
      </c>
      <c r="I35" s="6">
        <v>51501</v>
      </c>
      <c r="J35" s="3"/>
      <c r="K35" s="2"/>
      <c r="R35" s="2"/>
      <c r="S35" s="111"/>
      <c r="T35" s="117"/>
    </row>
    <row r="36" spans="1:20" customFormat="1" x14ac:dyDescent="0.35">
      <c r="A36">
        <v>1</v>
      </c>
      <c r="B36" s="4">
        <f t="shared" si="0"/>
        <v>3.786</v>
      </c>
      <c r="C36">
        <v>3786</v>
      </c>
      <c r="D36" s="2">
        <v>153</v>
      </c>
      <c r="E36" s="112">
        <v>66.305300000000003</v>
      </c>
      <c r="F36" s="5" t="s">
        <v>77</v>
      </c>
      <c r="G36" t="s">
        <v>78</v>
      </c>
      <c r="H36" s="6">
        <v>45413</v>
      </c>
      <c r="I36" s="6">
        <v>51501</v>
      </c>
      <c r="J36" s="3"/>
      <c r="K36" s="2"/>
      <c r="R36" s="2"/>
      <c r="S36" s="111"/>
      <c r="T36" s="117"/>
    </row>
    <row r="37" spans="1:20" customFormat="1" x14ac:dyDescent="0.35">
      <c r="A37">
        <v>1</v>
      </c>
      <c r="B37" s="4">
        <f t="shared" si="0"/>
        <v>3.79</v>
      </c>
      <c r="C37">
        <v>3790</v>
      </c>
      <c r="D37" s="2">
        <v>153</v>
      </c>
      <c r="E37" s="112">
        <v>66.374200000000002</v>
      </c>
      <c r="F37" s="5" t="s">
        <v>79</v>
      </c>
      <c r="G37" t="s">
        <v>80</v>
      </c>
      <c r="H37" s="6">
        <v>45413</v>
      </c>
      <c r="I37" s="6">
        <v>51501</v>
      </c>
      <c r="J37" s="3"/>
      <c r="K37" s="2"/>
      <c r="R37" s="2"/>
      <c r="S37" s="111"/>
      <c r="T37" s="117"/>
    </row>
    <row r="38" spans="1:20" customFormat="1" x14ac:dyDescent="0.35">
      <c r="A38">
        <v>1</v>
      </c>
      <c r="B38" s="4">
        <f t="shared" si="0"/>
        <v>4</v>
      </c>
      <c r="C38">
        <v>4000</v>
      </c>
      <c r="D38" s="2">
        <v>153</v>
      </c>
      <c r="E38" s="112">
        <v>70.054199999999994</v>
      </c>
      <c r="F38" s="5" t="s">
        <v>81</v>
      </c>
      <c r="G38" t="s">
        <v>82</v>
      </c>
      <c r="H38" s="6">
        <v>45413</v>
      </c>
      <c r="I38" s="6">
        <v>51501</v>
      </c>
      <c r="J38" s="3"/>
      <c r="K38" s="2"/>
      <c r="R38" s="2"/>
      <c r="S38" s="111"/>
      <c r="T38" s="117"/>
    </row>
    <row r="39" spans="1:20" customFormat="1" x14ac:dyDescent="0.35">
      <c r="A39">
        <v>1</v>
      </c>
      <c r="B39" s="4">
        <f t="shared" si="0"/>
        <v>4.5</v>
      </c>
      <c r="C39">
        <v>4500</v>
      </c>
      <c r="D39" s="2">
        <v>153</v>
      </c>
      <c r="E39" s="112">
        <v>78.965900000000005</v>
      </c>
      <c r="F39" s="5" t="s">
        <v>83</v>
      </c>
      <c r="G39" t="s">
        <v>84</v>
      </c>
      <c r="H39" s="6">
        <v>45413</v>
      </c>
      <c r="I39" s="6">
        <v>51501</v>
      </c>
      <c r="J39" s="3"/>
      <c r="K39" s="2"/>
      <c r="R39" s="2"/>
      <c r="S39" s="111"/>
      <c r="T39" s="117"/>
    </row>
    <row r="40" spans="1:20" x14ac:dyDescent="0.35">
      <c r="A40">
        <v>1</v>
      </c>
      <c r="B40" s="4">
        <f t="shared" si="0"/>
        <v>5</v>
      </c>
      <c r="C40">
        <v>5000</v>
      </c>
      <c r="D40" s="2">
        <v>153</v>
      </c>
      <c r="E40" s="112">
        <v>87.739699999999999</v>
      </c>
      <c r="F40" s="5" t="s">
        <v>85</v>
      </c>
      <c r="G40" t="s">
        <v>86</v>
      </c>
      <c r="H40" s="6">
        <v>45413</v>
      </c>
      <c r="I40" s="6">
        <v>51501</v>
      </c>
      <c r="J40" s="3"/>
      <c r="S40" s="111"/>
      <c r="T40" s="117"/>
    </row>
    <row r="41" spans="1:20" x14ac:dyDescent="0.35">
      <c r="A41">
        <v>1</v>
      </c>
      <c r="B41" s="4">
        <v>0.2</v>
      </c>
      <c r="C41">
        <v>200</v>
      </c>
      <c r="D41" s="2">
        <v>153</v>
      </c>
      <c r="E41" s="111">
        <v>4.391</v>
      </c>
      <c r="F41" s="2" t="s">
        <v>964</v>
      </c>
      <c r="G41" s="2" t="s">
        <v>965</v>
      </c>
      <c r="H41" s="6">
        <v>45413</v>
      </c>
      <c r="I41" s="6">
        <v>51501</v>
      </c>
      <c r="J41" s="3"/>
      <c r="S41" s="111"/>
      <c r="T41" s="117"/>
    </row>
    <row r="42" spans="1:20" x14ac:dyDescent="0.35">
      <c r="A42">
        <v>1</v>
      </c>
      <c r="B42" s="4">
        <v>0.25</v>
      </c>
      <c r="C42">
        <v>250</v>
      </c>
      <c r="D42" s="2">
        <v>153</v>
      </c>
      <c r="E42" s="111">
        <v>5.4886999999999997</v>
      </c>
      <c r="F42" s="2" t="s">
        <v>966</v>
      </c>
      <c r="G42" s="2" t="s">
        <v>967</v>
      </c>
      <c r="H42" s="6">
        <v>45413</v>
      </c>
      <c r="I42" s="6">
        <v>51501</v>
      </c>
      <c r="J42" s="3"/>
      <c r="S42" s="111"/>
      <c r="T42" s="117"/>
    </row>
    <row r="43" spans="1:20" x14ac:dyDescent="0.35">
      <c r="A43">
        <v>1</v>
      </c>
      <c r="B43" s="4">
        <v>0.35</v>
      </c>
      <c r="C43">
        <v>350</v>
      </c>
      <c r="D43" s="2">
        <v>153</v>
      </c>
      <c r="E43" s="111">
        <v>7.5279999999999996</v>
      </c>
      <c r="F43" s="2" t="s">
        <v>968</v>
      </c>
      <c r="G43" s="2" t="s">
        <v>969</v>
      </c>
      <c r="H43" s="6">
        <v>45413</v>
      </c>
      <c r="I43" s="6">
        <v>51501</v>
      </c>
      <c r="J43" s="3"/>
      <c r="S43" s="111"/>
      <c r="T43" s="117"/>
    </row>
    <row r="44" spans="1:20" x14ac:dyDescent="0.35">
      <c r="A44"/>
      <c r="B44" s="4"/>
      <c r="C44"/>
      <c r="E44"/>
      <c r="F44" s="5"/>
      <c r="G44"/>
      <c r="H44" s="6"/>
      <c r="I44" s="6"/>
      <c r="J44" s="3"/>
      <c r="K44"/>
      <c r="S44" s="111"/>
      <c r="T44" s="117"/>
    </row>
    <row r="45" spans="1:20" x14ac:dyDescent="0.35">
      <c r="A45"/>
      <c r="B45"/>
      <c r="C45"/>
      <c r="D45"/>
      <c r="E45"/>
      <c r="F45"/>
      <c r="G45"/>
      <c r="H45"/>
      <c r="I45"/>
      <c r="J45"/>
      <c r="K45"/>
      <c r="S45" s="111"/>
      <c r="T45" s="117"/>
    </row>
    <row r="46" spans="1:20" x14ac:dyDescent="0.35">
      <c r="A46" s="1" t="s">
        <v>0</v>
      </c>
      <c r="J46"/>
      <c r="K46"/>
      <c r="S46" s="111"/>
      <c r="T46" s="117"/>
    </row>
    <row r="47" spans="1:20" x14ac:dyDescent="0.35">
      <c r="A47" s="1" t="s">
        <v>1</v>
      </c>
      <c r="B47" s="1" t="s">
        <v>2</v>
      </c>
      <c r="C47" s="1" t="s">
        <v>3</v>
      </c>
      <c r="D47" s="1" t="s">
        <v>87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/>
      <c r="S47" s="111"/>
      <c r="T47" s="117"/>
    </row>
    <row r="48" spans="1:20" x14ac:dyDescent="0.35">
      <c r="A48">
        <v>2</v>
      </c>
      <c r="B48" s="4">
        <f t="shared" ref="B48:B74" si="1">C48/1000</f>
        <v>0.375</v>
      </c>
      <c r="C48">
        <v>375</v>
      </c>
      <c r="D48" s="4">
        <f t="shared" ref="D48:D74" si="2">A48*B48</f>
        <v>0.75</v>
      </c>
      <c r="E48" s="2">
        <v>153</v>
      </c>
      <c r="F48" s="112">
        <v>16.133299999999998</v>
      </c>
      <c r="G48" s="5" t="s">
        <v>88</v>
      </c>
      <c r="H48" t="s">
        <v>89</v>
      </c>
      <c r="I48" s="6">
        <v>45413</v>
      </c>
      <c r="J48" s="6">
        <v>51501</v>
      </c>
      <c r="S48" s="111"/>
      <c r="T48" s="117"/>
    </row>
    <row r="49" spans="1:20" x14ac:dyDescent="0.35">
      <c r="A49">
        <v>2</v>
      </c>
      <c r="B49" s="4">
        <f t="shared" si="1"/>
        <v>0.2</v>
      </c>
      <c r="C49">
        <v>200</v>
      </c>
      <c r="D49" s="4">
        <f t="shared" si="2"/>
        <v>0.4</v>
      </c>
      <c r="E49" s="2">
        <v>153</v>
      </c>
      <c r="F49" s="112">
        <v>8.7807999999999993</v>
      </c>
      <c r="G49" s="5" t="s">
        <v>90</v>
      </c>
      <c r="H49" t="s">
        <v>91</v>
      </c>
      <c r="I49" s="6">
        <v>45413</v>
      </c>
      <c r="J49" s="6">
        <v>51501</v>
      </c>
      <c r="S49" s="111"/>
      <c r="T49" s="117"/>
    </row>
    <row r="50" spans="1:20" x14ac:dyDescent="0.35">
      <c r="A50">
        <v>2</v>
      </c>
      <c r="B50" s="4">
        <f t="shared" si="1"/>
        <v>0.375</v>
      </c>
      <c r="C50">
        <v>375</v>
      </c>
      <c r="D50" s="4">
        <f t="shared" si="2"/>
        <v>0.75</v>
      </c>
      <c r="E50" s="2">
        <v>153</v>
      </c>
      <c r="F50" s="112">
        <v>16.136399999999998</v>
      </c>
      <c r="G50" s="5" t="s">
        <v>92</v>
      </c>
      <c r="H50" t="s">
        <v>93</v>
      </c>
      <c r="I50" s="6">
        <v>45413</v>
      </c>
      <c r="J50" s="6">
        <v>51501</v>
      </c>
      <c r="S50" s="111"/>
      <c r="T50" s="117"/>
    </row>
    <row r="51" spans="1:20" x14ac:dyDescent="0.35">
      <c r="A51">
        <v>3</v>
      </c>
      <c r="B51" s="4">
        <f t="shared" si="1"/>
        <v>0.02</v>
      </c>
      <c r="C51">
        <v>20</v>
      </c>
      <c r="D51" s="4">
        <f t="shared" si="2"/>
        <v>0.06</v>
      </c>
      <c r="E51" s="2">
        <v>153</v>
      </c>
      <c r="F51" s="112">
        <v>1.5266</v>
      </c>
      <c r="G51" s="5" t="s">
        <v>94</v>
      </c>
      <c r="H51" t="s">
        <v>95</v>
      </c>
      <c r="I51" s="6">
        <v>45413</v>
      </c>
      <c r="J51" s="6">
        <v>51501</v>
      </c>
      <c r="S51" s="111"/>
      <c r="T51" s="117"/>
    </row>
    <row r="52" spans="1:20" x14ac:dyDescent="0.35">
      <c r="A52">
        <v>3</v>
      </c>
      <c r="B52" s="4">
        <f t="shared" si="1"/>
        <v>0.2</v>
      </c>
      <c r="C52">
        <v>200</v>
      </c>
      <c r="D52" s="4">
        <f t="shared" si="2"/>
        <v>0.60000000000000009</v>
      </c>
      <c r="E52" s="2">
        <v>153</v>
      </c>
      <c r="F52" s="112">
        <v>13.1723</v>
      </c>
      <c r="G52" s="5" t="s">
        <v>96</v>
      </c>
      <c r="H52" t="s">
        <v>97</v>
      </c>
      <c r="I52" s="6">
        <v>45413</v>
      </c>
      <c r="J52" s="6">
        <v>51501</v>
      </c>
      <c r="S52" s="111"/>
      <c r="T52" s="117"/>
    </row>
    <row r="53" spans="1:20" x14ac:dyDescent="0.35">
      <c r="A53">
        <v>3</v>
      </c>
      <c r="B53" s="4">
        <f t="shared" si="1"/>
        <v>0.375</v>
      </c>
      <c r="C53">
        <v>375</v>
      </c>
      <c r="D53" s="4">
        <f t="shared" si="2"/>
        <v>1.125</v>
      </c>
      <c r="E53" s="2">
        <v>153</v>
      </c>
      <c r="F53" s="112">
        <v>24.200500000000002</v>
      </c>
      <c r="G53" s="5" t="s">
        <v>98</v>
      </c>
      <c r="H53" t="s">
        <v>99</v>
      </c>
      <c r="I53" s="6">
        <v>45413</v>
      </c>
      <c r="J53" s="6">
        <v>51501</v>
      </c>
      <c r="S53" s="111"/>
      <c r="T53" s="117"/>
    </row>
    <row r="54" spans="1:20" x14ac:dyDescent="0.35">
      <c r="A54">
        <v>3</v>
      </c>
      <c r="B54" s="4">
        <f t="shared" si="1"/>
        <v>0.2</v>
      </c>
      <c r="C54">
        <v>200</v>
      </c>
      <c r="D54" s="4">
        <f t="shared" si="2"/>
        <v>0.60000000000000009</v>
      </c>
      <c r="E54" s="2">
        <v>153</v>
      </c>
      <c r="F54" s="112">
        <v>13.1723</v>
      </c>
      <c r="G54" s="5" t="s">
        <v>100</v>
      </c>
      <c r="H54" t="s">
        <v>101</v>
      </c>
      <c r="I54" s="6">
        <v>45413</v>
      </c>
      <c r="J54" s="6">
        <v>51501</v>
      </c>
      <c r="S54" s="111"/>
      <c r="T54" s="117"/>
    </row>
    <row r="55" spans="1:20" x14ac:dyDescent="0.35">
      <c r="A55">
        <v>3</v>
      </c>
      <c r="B55" s="4">
        <f t="shared" si="1"/>
        <v>0.04</v>
      </c>
      <c r="C55">
        <v>40</v>
      </c>
      <c r="D55" s="4">
        <f t="shared" si="2"/>
        <v>0.12</v>
      </c>
      <c r="E55" s="2">
        <v>153</v>
      </c>
      <c r="F55" s="112">
        <v>3.0531000000000001</v>
      </c>
      <c r="G55" s="5" t="s">
        <v>102</v>
      </c>
      <c r="H55" t="s">
        <v>103</v>
      </c>
      <c r="I55" s="6">
        <v>45413</v>
      </c>
      <c r="J55" s="6">
        <v>51501</v>
      </c>
      <c r="S55" s="111"/>
      <c r="T55" s="117"/>
    </row>
    <row r="56" spans="1:20" x14ac:dyDescent="0.35">
      <c r="A56">
        <v>3</v>
      </c>
      <c r="B56" s="4">
        <f t="shared" si="1"/>
        <v>0.05</v>
      </c>
      <c r="C56">
        <v>50</v>
      </c>
      <c r="D56" s="4">
        <f t="shared" si="2"/>
        <v>0.15000000000000002</v>
      </c>
      <c r="E56" s="2">
        <v>153</v>
      </c>
      <c r="F56" s="112">
        <v>3.8169</v>
      </c>
      <c r="G56" s="5" t="s">
        <v>104</v>
      </c>
      <c r="H56" t="s">
        <v>105</v>
      </c>
      <c r="I56" s="6">
        <v>45413</v>
      </c>
      <c r="J56" s="6">
        <v>51501</v>
      </c>
      <c r="S56" s="111"/>
      <c r="T56" s="117"/>
    </row>
    <row r="57" spans="1:20" x14ac:dyDescent="0.35">
      <c r="A57">
        <v>4</v>
      </c>
      <c r="B57" s="4">
        <f t="shared" si="1"/>
        <v>0.2</v>
      </c>
      <c r="C57">
        <v>200</v>
      </c>
      <c r="D57" s="4">
        <f t="shared" si="2"/>
        <v>0.8</v>
      </c>
      <c r="E57" s="2">
        <v>153</v>
      </c>
      <c r="F57" s="112">
        <v>17.563700000000001</v>
      </c>
      <c r="G57" s="5" t="s">
        <v>106</v>
      </c>
      <c r="H57" t="s">
        <v>107</v>
      </c>
      <c r="I57" s="6">
        <v>45413</v>
      </c>
      <c r="J57" s="6">
        <v>51501</v>
      </c>
      <c r="S57" s="111"/>
      <c r="T57" s="117"/>
    </row>
    <row r="58" spans="1:20" x14ac:dyDescent="0.35">
      <c r="A58">
        <v>4</v>
      </c>
      <c r="B58" s="4">
        <f t="shared" si="1"/>
        <v>2.5000000000000001E-2</v>
      </c>
      <c r="C58">
        <v>25</v>
      </c>
      <c r="D58" s="4">
        <f t="shared" si="2"/>
        <v>0.1</v>
      </c>
      <c r="E58" s="2">
        <v>153</v>
      </c>
      <c r="F58" s="112">
        <v>2.5442</v>
      </c>
      <c r="G58" s="5" t="s">
        <v>108</v>
      </c>
      <c r="H58" t="s">
        <v>109</v>
      </c>
      <c r="I58" s="6">
        <v>45413</v>
      </c>
      <c r="J58" s="6">
        <v>51501</v>
      </c>
      <c r="S58" s="111"/>
      <c r="T58" s="117"/>
    </row>
    <row r="59" spans="1:20" x14ac:dyDescent="0.35">
      <c r="A59">
        <v>4</v>
      </c>
      <c r="B59" s="4">
        <f t="shared" si="1"/>
        <v>0.03</v>
      </c>
      <c r="C59">
        <v>30</v>
      </c>
      <c r="D59" s="4">
        <f t="shared" si="2"/>
        <v>0.12</v>
      </c>
      <c r="E59" s="2">
        <v>153</v>
      </c>
      <c r="F59" s="112">
        <v>3.0531000000000001</v>
      </c>
      <c r="G59" s="5" t="s">
        <v>110</v>
      </c>
      <c r="H59" t="s">
        <v>111</v>
      </c>
      <c r="I59" s="6">
        <v>45413</v>
      </c>
      <c r="J59" s="6">
        <v>51501</v>
      </c>
      <c r="S59" s="111"/>
      <c r="T59" s="117"/>
    </row>
    <row r="60" spans="1:20" x14ac:dyDescent="0.35">
      <c r="A60">
        <v>4</v>
      </c>
      <c r="B60" s="4">
        <f t="shared" si="1"/>
        <v>0.05</v>
      </c>
      <c r="C60">
        <v>50</v>
      </c>
      <c r="D60" s="4">
        <f t="shared" si="2"/>
        <v>0.2</v>
      </c>
      <c r="E60" s="2">
        <v>153</v>
      </c>
      <c r="F60" s="112">
        <v>5.0891000000000002</v>
      </c>
      <c r="G60" s="5" t="s">
        <v>112</v>
      </c>
      <c r="H60" t="s">
        <v>113</v>
      </c>
      <c r="I60" s="6">
        <v>45413</v>
      </c>
      <c r="J60" s="6">
        <v>51501</v>
      </c>
      <c r="S60" s="111"/>
      <c r="T60" s="117"/>
    </row>
    <row r="61" spans="1:20" x14ac:dyDescent="0.35">
      <c r="A61">
        <v>4</v>
      </c>
      <c r="B61" s="4">
        <f t="shared" si="1"/>
        <v>7.0000000000000007E-2</v>
      </c>
      <c r="C61">
        <v>70</v>
      </c>
      <c r="D61" s="4">
        <f t="shared" si="2"/>
        <v>0.28000000000000003</v>
      </c>
      <c r="E61" s="2">
        <v>153</v>
      </c>
      <c r="F61" s="112">
        <v>7.2533000000000003</v>
      </c>
      <c r="G61" s="5" t="s">
        <v>114</v>
      </c>
      <c r="H61" t="s">
        <v>115</v>
      </c>
      <c r="I61" s="6">
        <v>45413</v>
      </c>
      <c r="J61" s="6">
        <v>51501</v>
      </c>
      <c r="S61" s="111"/>
      <c r="T61" s="117"/>
    </row>
    <row r="62" spans="1:20" x14ac:dyDescent="0.35">
      <c r="A62">
        <v>4</v>
      </c>
      <c r="B62" s="4">
        <f t="shared" si="1"/>
        <v>0.2</v>
      </c>
      <c r="C62">
        <v>200</v>
      </c>
      <c r="D62" s="4">
        <f t="shared" si="2"/>
        <v>0.8</v>
      </c>
      <c r="E62" s="2">
        <v>153</v>
      </c>
      <c r="F62" s="112">
        <v>17.563700000000001</v>
      </c>
      <c r="G62" s="5" t="s">
        <v>116</v>
      </c>
      <c r="H62" t="s">
        <v>117</v>
      </c>
      <c r="I62" s="6">
        <v>45413</v>
      </c>
      <c r="J62" s="6">
        <v>51501</v>
      </c>
      <c r="S62" s="111"/>
      <c r="T62" s="117"/>
    </row>
    <row r="63" spans="1:20" x14ac:dyDescent="0.35">
      <c r="A63">
        <v>5</v>
      </c>
      <c r="B63" s="4">
        <f t="shared" si="1"/>
        <v>0.05</v>
      </c>
      <c r="C63">
        <v>50</v>
      </c>
      <c r="D63" s="4">
        <f t="shared" si="2"/>
        <v>0.25</v>
      </c>
      <c r="E63" s="2">
        <v>153</v>
      </c>
      <c r="F63" s="112">
        <v>6.3613</v>
      </c>
      <c r="G63" s="5" t="s">
        <v>118</v>
      </c>
      <c r="H63" t="s">
        <v>119</v>
      </c>
      <c r="I63" s="6">
        <v>45413</v>
      </c>
      <c r="J63" s="6">
        <v>51501</v>
      </c>
      <c r="S63" s="111"/>
      <c r="T63" s="117"/>
    </row>
    <row r="64" spans="1:20" x14ac:dyDescent="0.35">
      <c r="A64">
        <v>5</v>
      </c>
      <c r="B64" s="4">
        <f t="shared" si="1"/>
        <v>0.2</v>
      </c>
      <c r="C64">
        <v>200</v>
      </c>
      <c r="D64" s="4">
        <f t="shared" si="2"/>
        <v>1</v>
      </c>
      <c r="E64" s="2">
        <v>153</v>
      </c>
      <c r="F64" s="112">
        <v>21.955100000000002</v>
      </c>
      <c r="G64" s="5" t="s">
        <v>120</v>
      </c>
      <c r="H64" t="s">
        <v>121</v>
      </c>
      <c r="I64" s="6">
        <v>45413</v>
      </c>
      <c r="J64" s="6">
        <v>51501</v>
      </c>
      <c r="S64" s="111"/>
      <c r="T64" s="117"/>
    </row>
    <row r="65" spans="1:20" x14ac:dyDescent="0.35">
      <c r="A65">
        <v>5</v>
      </c>
      <c r="B65" s="4">
        <f t="shared" si="1"/>
        <v>0.05</v>
      </c>
      <c r="C65">
        <v>50</v>
      </c>
      <c r="D65" s="4">
        <f t="shared" si="2"/>
        <v>0.25</v>
      </c>
      <c r="E65" s="2">
        <v>153</v>
      </c>
      <c r="F65" s="112">
        <v>6.8052000000000001</v>
      </c>
      <c r="G65" s="5" t="s">
        <v>122</v>
      </c>
      <c r="H65" t="s">
        <v>123</v>
      </c>
      <c r="I65" s="6">
        <v>45413</v>
      </c>
      <c r="J65" s="6">
        <v>51501</v>
      </c>
      <c r="S65" s="111"/>
      <c r="T65" s="117"/>
    </row>
    <row r="66" spans="1:20" x14ac:dyDescent="0.35">
      <c r="A66">
        <v>6</v>
      </c>
      <c r="B66" s="4">
        <f t="shared" si="1"/>
        <v>0.03</v>
      </c>
      <c r="C66">
        <v>30</v>
      </c>
      <c r="D66" s="4">
        <f t="shared" si="2"/>
        <v>0.18</v>
      </c>
      <c r="E66" s="2">
        <v>153</v>
      </c>
      <c r="F66" s="112">
        <v>4.5797999999999996</v>
      </c>
      <c r="G66" s="5" t="s">
        <v>124</v>
      </c>
      <c r="H66" t="s">
        <v>125</v>
      </c>
      <c r="I66" s="6">
        <v>45413</v>
      </c>
      <c r="J66" s="6">
        <v>51501</v>
      </c>
      <c r="S66" s="111"/>
      <c r="T66" s="117"/>
    </row>
    <row r="67" spans="1:20" x14ac:dyDescent="0.35">
      <c r="A67">
        <v>6</v>
      </c>
      <c r="B67" s="4">
        <f t="shared" si="1"/>
        <v>0.05</v>
      </c>
      <c r="C67">
        <v>50</v>
      </c>
      <c r="D67" s="4">
        <f t="shared" si="2"/>
        <v>0.30000000000000004</v>
      </c>
      <c r="E67" s="2">
        <v>153</v>
      </c>
      <c r="F67" s="112">
        <v>7.6337000000000002</v>
      </c>
      <c r="G67" s="5" t="s">
        <v>126</v>
      </c>
      <c r="H67" t="s">
        <v>127</v>
      </c>
      <c r="I67" s="6">
        <v>45413</v>
      </c>
      <c r="J67" s="6">
        <v>51501</v>
      </c>
      <c r="S67" s="111"/>
      <c r="T67" s="117"/>
    </row>
    <row r="68" spans="1:20" x14ac:dyDescent="0.35">
      <c r="A68">
        <v>10</v>
      </c>
      <c r="B68" s="4">
        <f t="shared" si="1"/>
        <v>0.02</v>
      </c>
      <c r="C68">
        <v>20</v>
      </c>
      <c r="D68" s="4">
        <f t="shared" si="2"/>
        <v>0.2</v>
      </c>
      <c r="E68" s="2">
        <v>153</v>
      </c>
      <c r="F68" s="112">
        <v>5.0885999999999996</v>
      </c>
      <c r="G68" s="5" t="s">
        <v>128</v>
      </c>
      <c r="H68" t="s">
        <v>129</v>
      </c>
      <c r="I68" s="6">
        <v>45413</v>
      </c>
      <c r="J68" s="6">
        <v>51501</v>
      </c>
      <c r="S68" s="111"/>
      <c r="T68" s="117"/>
    </row>
    <row r="69" spans="1:20" x14ac:dyDescent="0.35">
      <c r="A69">
        <v>10</v>
      </c>
      <c r="B69" s="4">
        <f t="shared" si="1"/>
        <v>0.05</v>
      </c>
      <c r="C69">
        <v>50</v>
      </c>
      <c r="D69" s="4">
        <f t="shared" si="2"/>
        <v>0.5</v>
      </c>
      <c r="E69" s="2">
        <v>153</v>
      </c>
      <c r="F69" s="112">
        <v>12.7225</v>
      </c>
      <c r="G69" s="5" t="s">
        <v>130</v>
      </c>
      <c r="H69" t="s">
        <v>131</v>
      </c>
      <c r="I69" s="6">
        <v>45413</v>
      </c>
      <c r="J69" s="6">
        <v>51501</v>
      </c>
      <c r="S69" s="111"/>
      <c r="T69" s="117"/>
    </row>
    <row r="70" spans="1:20" x14ac:dyDescent="0.35">
      <c r="A70">
        <v>10</v>
      </c>
      <c r="B70" s="4">
        <f t="shared" si="1"/>
        <v>0.02</v>
      </c>
      <c r="C70">
        <v>20</v>
      </c>
      <c r="D70" s="4">
        <f t="shared" si="2"/>
        <v>0.2</v>
      </c>
      <c r="E70" s="2">
        <v>153</v>
      </c>
      <c r="F70" s="112">
        <v>5.0887000000000002</v>
      </c>
      <c r="G70" s="5" t="s">
        <v>132</v>
      </c>
      <c r="H70" t="s">
        <v>133</v>
      </c>
      <c r="I70" s="6">
        <v>45413</v>
      </c>
      <c r="J70" s="6">
        <v>51501</v>
      </c>
      <c r="S70" s="111"/>
      <c r="T70" s="117"/>
    </row>
    <row r="71" spans="1:20" x14ac:dyDescent="0.35">
      <c r="A71">
        <v>10</v>
      </c>
      <c r="B71" s="4">
        <f t="shared" si="1"/>
        <v>0.05</v>
      </c>
      <c r="C71">
        <v>50</v>
      </c>
      <c r="D71" s="4">
        <f t="shared" si="2"/>
        <v>0.5</v>
      </c>
      <c r="E71" s="2">
        <v>153</v>
      </c>
      <c r="F71" s="112">
        <v>12.7225</v>
      </c>
      <c r="G71" s="5" t="s">
        <v>134</v>
      </c>
      <c r="H71" t="s">
        <v>135</v>
      </c>
      <c r="I71" s="6">
        <v>45413</v>
      </c>
      <c r="J71" s="6">
        <v>51501</v>
      </c>
      <c r="S71" s="111"/>
      <c r="T71" s="117"/>
    </row>
    <row r="72" spans="1:20" x14ac:dyDescent="0.35">
      <c r="A72">
        <v>12</v>
      </c>
      <c r="B72" s="4">
        <f t="shared" si="1"/>
        <v>0.03</v>
      </c>
      <c r="C72">
        <v>30</v>
      </c>
      <c r="D72" s="4">
        <f t="shared" si="2"/>
        <v>0.36</v>
      </c>
      <c r="E72" s="2">
        <v>153</v>
      </c>
      <c r="F72" s="112">
        <v>9.1594999999999995</v>
      </c>
      <c r="G72" s="5" t="s">
        <v>136</v>
      </c>
      <c r="H72" t="s">
        <v>137</v>
      </c>
      <c r="I72" s="6">
        <v>45413</v>
      </c>
      <c r="J72" s="6">
        <v>51501</v>
      </c>
      <c r="S72" s="111"/>
      <c r="T72" s="117"/>
    </row>
    <row r="73" spans="1:20" x14ac:dyDescent="0.35">
      <c r="A73">
        <v>24</v>
      </c>
      <c r="B73" s="4">
        <f t="shared" si="1"/>
        <v>0.03</v>
      </c>
      <c r="C73">
        <v>30</v>
      </c>
      <c r="D73" s="4">
        <f t="shared" si="2"/>
        <v>0.72</v>
      </c>
      <c r="E73" s="2">
        <v>153</v>
      </c>
      <c r="F73" s="112">
        <v>18.3141</v>
      </c>
      <c r="G73" s="5" t="s">
        <v>138</v>
      </c>
      <c r="H73" t="s">
        <v>139</v>
      </c>
      <c r="I73" s="6">
        <v>45413</v>
      </c>
      <c r="J73" s="6">
        <v>51501</v>
      </c>
      <c r="S73" s="111"/>
      <c r="T73" s="117"/>
    </row>
    <row r="74" spans="1:20" x14ac:dyDescent="0.35">
      <c r="A74">
        <v>25</v>
      </c>
      <c r="B74" s="4">
        <f t="shared" si="1"/>
        <v>0.05</v>
      </c>
      <c r="C74">
        <v>50</v>
      </c>
      <c r="D74" s="4">
        <f t="shared" si="2"/>
        <v>1.25</v>
      </c>
      <c r="E74" s="2">
        <v>153</v>
      </c>
      <c r="F74" s="112">
        <v>31.805499999999999</v>
      </c>
      <c r="G74" s="5" t="s">
        <v>140</v>
      </c>
      <c r="H74" t="s">
        <v>141</v>
      </c>
      <c r="I74" s="6">
        <v>45413</v>
      </c>
      <c r="J74" s="6">
        <v>51501</v>
      </c>
      <c r="S74" s="111"/>
      <c r="T74" s="117"/>
    </row>
    <row r="75" spans="1:20" x14ac:dyDescent="0.35">
      <c r="A75" s="2">
        <v>3</v>
      </c>
      <c r="B75" s="2">
        <v>0.1</v>
      </c>
      <c r="C75" s="2">
        <v>100</v>
      </c>
      <c r="D75" s="4">
        <f t="shared" ref="D75:D77" si="3">A75*B75</f>
        <v>0.30000000000000004</v>
      </c>
      <c r="E75" s="2">
        <v>153</v>
      </c>
      <c r="F75" s="111">
        <v>7.6326999999999998</v>
      </c>
      <c r="G75" s="2" t="s">
        <v>958</v>
      </c>
      <c r="H75" s="2" t="s">
        <v>959</v>
      </c>
      <c r="I75" s="6">
        <v>45413</v>
      </c>
      <c r="J75" s="6">
        <v>51501</v>
      </c>
      <c r="S75" s="111"/>
      <c r="T75" s="117"/>
    </row>
    <row r="76" spans="1:20" x14ac:dyDescent="0.35">
      <c r="A76" s="2">
        <v>4</v>
      </c>
      <c r="B76" s="2">
        <v>0.1</v>
      </c>
      <c r="C76" s="2">
        <v>100</v>
      </c>
      <c r="D76" s="4">
        <f t="shared" si="3"/>
        <v>0.4</v>
      </c>
      <c r="E76" s="2">
        <v>153</v>
      </c>
      <c r="F76" s="111">
        <v>10.1769</v>
      </c>
      <c r="G76" s="2" t="s">
        <v>960</v>
      </c>
      <c r="H76" s="2" t="s">
        <v>961</v>
      </c>
      <c r="I76" s="6">
        <v>45413</v>
      </c>
      <c r="J76" s="6">
        <v>51501</v>
      </c>
      <c r="S76" s="111"/>
      <c r="T76" s="117"/>
    </row>
    <row r="77" spans="1:20" x14ac:dyDescent="0.35">
      <c r="A77" s="2">
        <v>4</v>
      </c>
      <c r="B77" s="2">
        <v>0.05</v>
      </c>
      <c r="C77" s="2">
        <v>50</v>
      </c>
      <c r="D77" s="4">
        <f t="shared" si="3"/>
        <v>0.2</v>
      </c>
      <c r="E77" s="2">
        <v>153</v>
      </c>
      <c r="F77" s="111">
        <v>5.0888999999999998</v>
      </c>
      <c r="G77" s="2" t="s">
        <v>962</v>
      </c>
      <c r="H77" s="2" t="s">
        <v>963</v>
      </c>
      <c r="I77" s="6">
        <v>45413</v>
      </c>
      <c r="J77" s="6">
        <v>51501</v>
      </c>
      <c r="S77" s="111"/>
      <c r="T77" s="1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86"/>
  <sheetViews>
    <sheetView workbookViewId="0">
      <selection sqref="A1:XFD1048576"/>
    </sheetView>
  </sheetViews>
  <sheetFormatPr defaultColWidth="9.1796875" defaultRowHeight="14.5" x14ac:dyDescent="0.35"/>
  <cols>
    <col min="1" max="6" width="9.1796875" style="2"/>
    <col min="7" max="7" width="18.81640625" style="2" bestFit="1" customWidth="1"/>
    <col min="8" max="8" width="13.54296875" style="2" bestFit="1" customWidth="1"/>
    <col min="9" max="9" width="11" style="2" bestFit="1" customWidth="1"/>
    <col min="10" max="10" width="1.81640625" style="113" customWidth="1"/>
    <col min="11" max="18" width="9.1796875" style="2"/>
    <col min="19" max="19" width="9.81640625" style="2" bestFit="1" customWidth="1"/>
    <col min="20" max="16384" width="9.1796875" style="2"/>
  </cols>
  <sheetData>
    <row r="1" spans="1:20" x14ac:dyDescent="0.35">
      <c r="A1" s="1" t="s">
        <v>0</v>
      </c>
      <c r="L1" s="2" t="s">
        <v>866</v>
      </c>
    </row>
    <row r="2" spans="1:2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14"/>
      <c r="L2" s="2" t="s">
        <v>863</v>
      </c>
      <c r="M2" s="2" t="s">
        <v>864</v>
      </c>
      <c r="N2" s="2" t="s">
        <v>865</v>
      </c>
    </row>
    <row r="3" spans="1:20" x14ac:dyDescent="0.35">
      <c r="A3">
        <v>1</v>
      </c>
      <c r="B3" s="4">
        <f t="shared" ref="B3:B43" si="0">C3/1000</f>
        <v>0.1</v>
      </c>
      <c r="C3">
        <v>100</v>
      </c>
      <c r="D3" s="2">
        <v>95</v>
      </c>
      <c r="E3" s="112">
        <v>0.3805</v>
      </c>
      <c r="F3" s="5" t="s">
        <v>142</v>
      </c>
      <c r="G3" t="s">
        <v>143</v>
      </c>
      <c r="H3" s="6">
        <v>45413</v>
      </c>
      <c r="I3" s="6">
        <v>51501</v>
      </c>
      <c r="J3" s="115"/>
      <c r="L3" s="2">
        <v>1</v>
      </c>
      <c r="M3" s="2">
        <v>42.11</v>
      </c>
      <c r="N3" s="2">
        <v>1.5458000000000001</v>
      </c>
      <c r="R3" s="111"/>
      <c r="S3" s="111"/>
      <c r="T3" s="117"/>
    </row>
    <row r="4" spans="1:20" x14ac:dyDescent="0.35">
      <c r="A4">
        <v>1</v>
      </c>
      <c r="B4" s="4">
        <f t="shared" si="0"/>
        <v>1</v>
      </c>
      <c r="C4">
        <v>1000</v>
      </c>
      <c r="D4" s="2">
        <v>95</v>
      </c>
      <c r="E4" s="112">
        <v>3.8140999999999998</v>
      </c>
      <c r="F4" s="5" t="s">
        <v>144</v>
      </c>
      <c r="G4" t="s">
        <v>145</v>
      </c>
      <c r="H4" s="6">
        <v>45413</v>
      </c>
      <c r="I4" s="6">
        <v>51501</v>
      </c>
      <c r="J4" s="115"/>
      <c r="R4" s="111"/>
      <c r="S4" s="111"/>
      <c r="T4" s="117"/>
    </row>
    <row r="5" spans="1:20" x14ac:dyDescent="0.35">
      <c r="A5">
        <v>1</v>
      </c>
      <c r="B5" s="4">
        <f t="shared" si="0"/>
        <v>10</v>
      </c>
      <c r="C5">
        <v>10000</v>
      </c>
      <c r="D5" s="2">
        <v>95</v>
      </c>
      <c r="E5" s="112">
        <v>27.572900000000001</v>
      </c>
      <c r="F5" s="5" t="s">
        <v>146</v>
      </c>
      <c r="G5" t="s">
        <v>147</v>
      </c>
      <c r="H5" s="6">
        <v>45413</v>
      </c>
      <c r="I5" s="6">
        <v>51501</v>
      </c>
      <c r="J5" s="115"/>
      <c r="R5" s="111"/>
      <c r="S5" s="111"/>
      <c r="T5" s="117"/>
    </row>
    <row r="6" spans="1:20" x14ac:dyDescent="0.35">
      <c r="A6">
        <v>1</v>
      </c>
      <c r="B6" s="4">
        <f t="shared" si="0"/>
        <v>12</v>
      </c>
      <c r="C6">
        <v>12000</v>
      </c>
      <c r="D6" s="2">
        <v>95</v>
      </c>
      <c r="E6" s="112">
        <v>33.086399999999998</v>
      </c>
      <c r="F6" s="5" t="s">
        <v>148</v>
      </c>
      <c r="G6" t="s">
        <v>149</v>
      </c>
      <c r="H6" s="6">
        <v>45413</v>
      </c>
      <c r="I6" s="6">
        <v>51501</v>
      </c>
      <c r="J6" s="115"/>
      <c r="R6" s="111"/>
      <c r="S6" s="111"/>
      <c r="T6" s="117"/>
    </row>
    <row r="7" spans="1:20" x14ac:dyDescent="0.35">
      <c r="A7">
        <v>1</v>
      </c>
      <c r="B7" s="4">
        <f t="shared" si="0"/>
        <v>1.5</v>
      </c>
      <c r="C7">
        <v>1500</v>
      </c>
      <c r="D7" s="2">
        <v>95</v>
      </c>
      <c r="E7" s="112">
        <v>5.5458999999999996</v>
      </c>
      <c r="F7" s="5" t="s">
        <v>150</v>
      </c>
      <c r="G7" t="s">
        <v>151</v>
      </c>
      <c r="H7" s="6">
        <v>45413</v>
      </c>
      <c r="I7" s="6">
        <v>51501</v>
      </c>
      <c r="J7" s="115"/>
      <c r="R7" s="111"/>
      <c r="S7" s="111"/>
      <c r="T7" s="117"/>
    </row>
    <row r="8" spans="1:20" x14ac:dyDescent="0.35">
      <c r="A8">
        <v>1</v>
      </c>
      <c r="B8" s="4">
        <f t="shared" si="0"/>
        <v>15</v>
      </c>
      <c r="C8">
        <v>15000</v>
      </c>
      <c r="D8" s="2">
        <v>95</v>
      </c>
      <c r="E8" s="112">
        <v>41.939300000000003</v>
      </c>
      <c r="F8" s="5" t="s">
        <v>152</v>
      </c>
      <c r="G8" t="s">
        <v>153</v>
      </c>
      <c r="H8" s="6">
        <v>45413</v>
      </c>
      <c r="I8" s="6">
        <v>51501</v>
      </c>
      <c r="J8" s="115"/>
      <c r="R8" s="111"/>
      <c r="S8" s="111"/>
      <c r="T8" s="117"/>
    </row>
    <row r="9" spans="1:20" x14ac:dyDescent="0.35">
      <c r="A9">
        <v>1</v>
      </c>
      <c r="B9" s="4">
        <f t="shared" si="0"/>
        <v>16</v>
      </c>
      <c r="C9">
        <v>16000</v>
      </c>
      <c r="D9" s="2">
        <v>95</v>
      </c>
      <c r="E9" s="112">
        <v>44.735300000000002</v>
      </c>
      <c r="F9" s="5" t="s">
        <v>154</v>
      </c>
      <c r="G9" t="s">
        <v>155</v>
      </c>
      <c r="H9" s="6">
        <v>45413</v>
      </c>
      <c r="I9" s="6">
        <v>51501</v>
      </c>
      <c r="J9" s="115"/>
      <c r="R9" s="111"/>
      <c r="S9" s="111"/>
      <c r="T9" s="117"/>
    </row>
    <row r="10" spans="1:20" x14ac:dyDescent="0.35">
      <c r="A10">
        <v>1</v>
      </c>
      <c r="B10" s="4">
        <f t="shared" si="0"/>
        <v>1.75</v>
      </c>
      <c r="C10">
        <v>1750</v>
      </c>
      <c r="D10" s="2">
        <v>95</v>
      </c>
      <c r="E10" s="112">
        <v>6.4699</v>
      </c>
      <c r="F10" s="5" t="s">
        <v>156</v>
      </c>
      <c r="G10" t="s">
        <v>157</v>
      </c>
      <c r="H10" s="6">
        <v>45413</v>
      </c>
      <c r="I10" s="6">
        <v>51501</v>
      </c>
      <c r="J10" s="115"/>
      <c r="R10" s="111"/>
      <c r="S10" s="111"/>
      <c r="T10" s="117"/>
    </row>
    <row r="11" spans="1:20" x14ac:dyDescent="0.35">
      <c r="A11">
        <v>1</v>
      </c>
      <c r="B11" s="4">
        <f t="shared" si="0"/>
        <v>1.8</v>
      </c>
      <c r="C11">
        <v>1800</v>
      </c>
      <c r="D11" s="2">
        <v>95</v>
      </c>
      <c r="E11" s="112">
        <v>6.6548999999999996</v>
      </c>
      <c r="F11" s="5" t="s">
        <v>158</v>
      </c>
      <c r="G11" t="s">
        <v>159</v>
      </c>
      <c r="H11" s="6">
        <v>45413</v>
      </c>
      <c r="I11" s="6">
        <v>51501</v>
      </c>
      <c r="J11" s="115"/>
      <c r="R11" s="111"/>
      <c r="S11" s="111"/>
      <c r="T11" s="117"/>
    </row>
    <row r="12" spans="1:20" x14ac:dyDescent="0.35">
      <c r="A12">
        <v>1</v>
      </c>
      <c r="B12" s="4">
        <f t="shared" si="0"/>
        <v>18</v>
      </c>
      <c r="C12">
        <v>18000</v>
      </c>
      <c r="D12" s="2">
        <v>95</v>
      </c>
      <c r="E12" s="112">
        <v>50.327399999999997</v>
      </c>
      <c r="F12" s="5" t="s">
        <v>160</v>
      </c>
      <c r="G12" t="s">
        <v>161</v>
      </c>
      <c r="H12" s="6">
        <v>45413</v>
      </c>
      <c r="I12" s="6">
        <v>51501</v>
      </c>
      <c r="J12" s="115"/>
      <c r="R12" s="111"/>
      <c r="S12" s="111"/>
      <c r="T12" s="117"/>
    </row>
    <row r="13" spans="1:20" x14ac:dyDescent="0.35">
      <c r="A13">
        <v>1</v>
      </c>
      <c r="B13" s="4">
        <f t="shared" si="0"/>
        <v>0.187</v>
      </c>
      <c r="C13">
        <v>187</v>
      </c>
      <c r="D13" s="2">
        <v>95</v>
      </c>
      <c r="E13" s="112">
        <v>0.98919999999999997</v>
      </c>
      <c r="F13" s="5" t="s">
        <v>162</v>
      </c>
      <c r="G13" t="s">
        <v>163</v>
      </c>
      <c r="H13" s="6">
        <v>45413</v>
      </c>
      <c r="I13" s="6">
        <v>51501</v>
      </c>
      <c r="J13" s="115"/>
      <c r="R13" s="111"/>
      <c r="S13" s="111"/>
      <c r="T13" s="117"/>
    </row>
    <row r="14" spans="1:20" x14ac:dyDescent="0.35">
      <c r="A14">
        <v>1</v>
      </c>
      <c r="B14" s="4">
        <f t="shared" si="0"/>
        <v>0.1875</v>
      </c>
      <c r="C14">
        <v>187.5</v>
      </c>
      <c r="D14" s="2">
        <v>95</v>
      </c>
      <c r="E14" s="112">
        <v>0.99170000000000003</v>
      </c>
      <c r="F14" s="5" t="s">
        <v>164</v>
      </c>
      <c r="G14" t="s">
        <v>165</v>
      </c>
      <c r="H14" s="6">
        <v>45413</v>
      </c>
      <c r="I14" s="6">
        <v>51501</v>
      </c>
      <c r="J14" s="115"/>
      <c r="R14" s="111"/>
      <c r="S14" s="111"/>
      <c r="T14" s="117"/>
    </row>
    <row r="15" spans="1:20" x14ac:dyDescent="0.35">
      <c r="A15">
        <v>1</v>
      </c>
      <c r="B15" s="4">
        <f t="shared" si="0"/>
        <v>19</v>
      </c>
      <c r="C15">
        <v>19000</v>
      </c>
      <c r="D15" s="2">
        <v>95</v>
      </c>
      <c r="E15" s="112">
        <v>52.048999999999999</v>
      </c>
      <c r="F15" s="5" t="s">
        <v>166</v>
      </c>
      <c r="G15" t="s">
        <v>167</v>
      </c>
      <c r="H15" s="6">
        <v>45413</v>
      </c>
      <c r="I15" s="6">
        <v>51501</v>
      </c>
      <c r="J15" s="115"/>
      <c r="R15" s="111"/>
      <c r="S15" s="111"/>
      <c r="T15" s="117"/>
    </row>
    <row r="16" spans="1:20" x14ac:dyDescent="0.35">
      <c r="A16">
        <v>1</v>
      </c>
      <c r="B16" s="4">
        <f t="shared" si="0"/>
        <v>19.5</v>
      </c>
      <c r="C16">
        <v>19500</v>
      </c>
      <c r="D16" s="2">
        <v>95</v>
      </c>
      <c r="E16" s="112">
        <v>54.503</v>
      </c>
      <c r="F16" s="5" t="s">
        <v>168</v>
      </c>
      <c r="G16" t="s">
        <v>169</v>
      </c>
      <c r="H16" s="6">
        <v>45413</v>
      </c>
      <c r="I16" s="6">
        <v>51501</v>
      </c>
      <c r="J16" s="115"/>
      <c r="R16" s="111"/>
      <c r="S16" s="111"/>
      <c r="T16" s="117"/>
    </row>
    <row r="17" spans="1:20" x14ac:dyDescent="0.35">
      <c r="A17">
        <v>1</v>
      </c>
      <c r="B17" s="4">
        <f t="shared" si="0"/>
        <v>0.2</v>
      </c>
      <c r="C17">
        <v>200</v>
      </c>
      <c r="D17" s="2">
        <v>95</v>
      </c>
      <c r="E17" s="112">
        <v>1.0593999999999999</v>
      </c>
      <c r="F17" s="5" t="s">
        <v>170</v>
      </c>
      <c r="G17" t="s">
        <v>171</v>
      </c>
      <c r="H17" s="6">
        <v>45413</v>
      </c>
      <c r="I17" s="6">
        <v>51501</v>
      </c>
      <c r="J17" s="115"/>
      <c r="R17" s="111"/>
      <c r="S17" s="111"/>
      <c r="T17" s="117"/>
    </row>
    <row r="18" spans="1:20" x14ac:dyDescent="0.35">
      <c r="A18">
        <v>1</v>
      </c>
      <c r="B18" s="4">
        <f t="shared" si="0"/>
        <v>2</v>
      </c>
      <c r="C18">
        <v>2000</v>
      </c>
      <c r="D18" s="2">
        <v>95</v>
      </c>
      <c r="E18" s="112">
        <v>7.1535000000000002</v>
      </c>
      <c r="F18" s="5" t="s">
        <v>172</v>
      </c>
      <c r="G18" t="s">
        <v>173</v>
      </c>
      <c r="H18" s="6">
        <v>45413</v>
      </c>
      <c r="I18" s="6">
        <v>51501</v>
      </c>
      <c r="J18" s="115"/>
      <c r="R18" s="111"/>
      <c r="S18" s="111"/>
      <c r="T18" s="117"/>
    </row>
    <row r="19" spans="1:20" x14ac:dyDescent="0.35">
      <c r="A19">
        <v>1</v>
      </c>
      <c r="B19" s="4">
        <f t="shared" si="0"/>
        <v>20</v>
      </c>
      <c r="C19">
        <v>20000</v>
      </c>
      <c r="D19" s="2">
        <v>95</v>
      </c>
      <c r="E19" s="112">
        <v>55.917099999999998</v>
      </c>
      <c r="F19" s="5" t="s">
        <v>174</v>
      </c>
      <c r="G19" t="s">
        <v>175</v>
      </c>
      <c r="H19" s="6">
        <v>45413</v>
      </c>
      <c r="I19" s="6">
        <v>51501</v>
      </c>
      <c r="J19" s="115"/>
      <c r="R19" s="111"/>
      <c r="S19" s="111"/>
      <c r="T19" s="117"/>
    </row>
    <row r="20" spans="1:20" x14ac:dyDescent="0.35">
      <c r="A20">
        <v>1</v>
      </c>
      <c r="B20" s="4">
        <f t="shared" si="0"/>
        <v>22</v>
      </c>
      <c r="C20">
        <v>22000</v>
      </c>
      <c r="D20" s="2">
        <v>95</v>
      </c>
      <c r="E20" s="112">
        <v>61.508800000000001</v>
      </c>
      <c r="F20" s="5" t="s">
        <v>176</v>
      </c>
      <c r="G20" t="s">
        <v>177</v>
      </c>
      <c r="H20" s="6">
        <v>45413</v>
      </c>
      <c r="I20" s="6">
        <v>51501</v>
      </c>
      <c r="J20" s="115"/>
      <c r="R20" s="111"/>
      <c r="S20" s="111"/>
      <c r="T20" s="117"/>
    </row>
    <row r="21" spans="1:20" x14ac:dyDescent="0.35">
      <c r="A21">
        <v>1</v>
      </c>
      <c r="B21" s="4">
        <f t="shared" si="0"/>
        <v>0.25</v>
      </c>
      <c r="C21">
        <v>250</v>
      </c>
      <c r="D21" s="2">
        <v>95</v>
      </c>
      <c r="E21" s="112">
        <v>1.3221000000000001</v>
      </c>
      <c r="F21" s="5" t="s">
        <v>178</v>
      </c>
      <c r="G21" t="s">
        <v>179</v>
      </c>
      <c r="H21" s="6">
        <v>45413</v>
      </c>
      <c r="I21" s="6">
        <v>51501</v>
      </c>
      <c r="R21" s="111"/>
      <c r="S21" s="111"/>
      <c r="T21" s="117"/>
    </row>
    <row r="22" spans="1:20" x14ac:dyDescent="0.35">
      <c r="A22">
        <v>1</v>
      </c>
      <c r="B22" s="4">
        <f t="shared" si="0"/>
        <v>2.5</v>
      </c>
      <c r="C22">
        <v>2500</v>
      </c>
      <c r="D22" s="2">
        <v>95</v>
      </c>
      <c r="E22" s="112">
        <v>8.9403000000000006</v>
      </c>
      <c r="F22" s="5" t="s">
        <v>180</v>
      </c>
      <c r="G22" t="s">
        <v>181</v>
      </c>
      <c r="H22" s="6">
        <v>45413</v>
      </c>
      <c r="I22" s="6">
        <v>51501</v>
      </c>
      <c r="R22" s="111"/>
      <c r="S22" s="111"/>
      <c r="T22" s="117"/>
    </row>
    <row r="23" spans="1:20" x14ac:dyDescent="0.35">
      <c r="A23">
        <v>1</v>
      </c>
      <c r="B23" s="4">
        <f t="shared" si="0"/>
        <v>2.75</v>
      </c>
      <c r="C23">
        <v>2750</v>
      </c>
      <c r="D23" s="2">
        <v>95</v>
      </c>
      <c r="E23" s="112">
        <v>9.5152999999999999</v>
      </c>
      <c r="F23" s="5" t="s">
        <v>182</v>
      </c>
      <c r="G23" t="s">
        <v>183</v>
      </c>
      <c r="H23" s="6">
        <v>45413</v>
      </c>
      <c r="I23" s="6">
        <v>51501</v>
      </c>
      <c r="R23" s="111"/>
      <c r="S23" s="111"/>
      <c r="T23" s="117"/>
    </row>
    <row r="24" spans="1:20" x14ac:dyDescent="0.35">
      <c r="A24">
        <v>1</v>
      </c>
      <c r="B24" s="4">
        <f t="shared" si="0"/>
        <v>28</v>
      </c>
      <c r="C24">
        <v>28000</v>
      </c>
      <c r="D24" s="2">
        <v>95</v>
      </c>
      <c r="E24" s="112">
        <v>78.286500000000004</v>
      </c>
      <c r="F24" s="5" t="s">
        <v>184</v>
      </c>
      <c r="G24" t="s">
        <v>185</v>
      </c>
      <c r="H24" s="6">
        <v>45413</v>
      </c>
      <c r="I24" s="6">
        <v>51501</v>
      </c>
      <c r="R24" s="111"/>
      <c r="S24" s="111"/>
      <c r="T24" s="117"/>
    </row>
    <row r="25" spans="1:20" x14ac:dyDescent="0.35">
      <c r="A25">
        <v>1</v>
      </c>
      <c r="B25" s="4">
        <f t="shared" si="0"/>
        <v>0.28999999999999998</v>
      </c>
      <c r="C25">
        <v>290</v>
      </c>
      <c r="D25" s="2">
        <v>95</v>
      </c>
      <c r="E25" s="112">
        <v>1.5330999999999999</v>
      </c>
      <c r="F25" s="5" t="s">
        <v>186</v>
      </c>
      <c r="G25" t="s">
        <v>187</v>
      </c>
      <c r="H25" s="6">
        <v>45413</v>
      </c>
      <c r="I25" s="6">
        <v>51501</v>
      </c>
      <c r="R25" s="111"/>
      <c r="S25" s="111"/>
      <c r="T25" s="117"/>
    </row>
    <row r="26" spans="1:20" x14ac:dyDescent="0.35">
      <c r="A26">
        <v>1</v>
      </c>
      <c r="B26" s="4">
        <f t="shared" si="0"/>
        <v>0.3</v>
      </c>
      <c r="C26">
        <v>300</v>
      </c>
      <c r="D26" s="2">
        <v>95</v>
      </c>
      <c r="E26" s="112">
        <v>1.5861000000000001</v>
      </c>
      <c r="F26" s="5" t="s">
        <v>188</v>
      </c>
      <c r="G26" t="s">
        <v>189</v>
      </c>
      <c r="H26" s="6">
        <v>45413</v>
      </c>
      <c r="I26" s="6">
        <v>51501</v>
      </c>
      <c r="R26" s="111"/>
      <c r="S26" s="111"/>
      <c r="T26" s="117"/>
    </row>
    <row r="27" spans="1:20" x14ac:dyDescent="0.35">
      <c r="A27">
        <v>1</v>
      </c>
      <c r="B27" s="4">
        <f t="shared" si="0"/>
        <v>3</v>
      </c>
      <c r="C27">
        <v>3000</v>
      </c>
      <c r="D27" s="2">
        <v>95</v>
      </c>
      <c r="E27" s="112">
        <v>10.3809</v>
      </c>
      <c r="F27" s="5" t="s">
        <v>190</v>
      </c>
      <c r="G27" t="s">
        <v>191</v>
      </c>
      <c r="H27" s="6">
        <v>45413</v>
      </c>
      <c r="I27" s="6">
        <v>51501</v>
      </c>
      <c r="R27" s="111"/>
      <c r="S27" s="111"/>
      <c r="T27" s="117"/>
    </row>
    <row r="28" spans="1:20" x14ac:dyDescent="0.35">
      <c r="A28">
        <v>1</v>
      </c>
      <c r="B28" s="4">
        <f t="shared" si="0"/>
        <v>0.33</v>
      </c>
      <c r="C28">
        <v>330</v>
      </c>
      <c r="D28" s="2">
        <v>95</v>
      </c>
      <c r="E28" s="112">
        <v>1.7551000000000001</v>
      </c>
      <c r="F28" s="5" t="s">
        <v>192</v>
      </c>
      <c r="G28" t="s">
        <v>193</v>
      </c>
      <c r="H28" s="6">
        <v>45413</v>
      </c>
      <c r="I28" s="6">
        <v>51501</v>
      </c>
      <c r="R28" s="111"/>
      <c r="S28" s="111"/>
      <c r="T28" s="117"/>
    </row>
    <row r="29" spans="1:20" x14ac:dyDescent="0.35">
      <c r="A29">
        <v>1</v>
      </c>
      <c r="B29" s="4">
        <f t="shared" si="0"/>
        <v>0.35</v>
      </c>
      <c r="C29">
        <v>350</v>
      </c>
      <c r="D29" s="2">
        <v>95</v>
      </c>
      <c r="E29" s="112">
        <v>1.8507</v>
      </c>
      <c r="F29" s="5" t="s">
        <v>194</v>
      </c>
      <c r="G29" t="s">
        <v>195</v>
      </c>
      <c r="H29" s="6">
        <v>45413</v>
      </c>
      <c r="I29" s="6">
        <v>51501</v>
      </c>
      <c r="R29" s="111"/>
      <c r="S29" s="111"/>
      <c r="T29" s="117"/>
    </row>
    <row r="30" spans="1:20" x14ac:dyDescent="0.35">
      <c r="A30">
        <v>1</v>
      </c>
      <c r="B30" s="4">
        <f t="shared" si="0"/>
        <v>0.375</v>
      </c>
      <c r="C30">
        <v>375</v>
      </c>
      <c r="D30" s="2">
        <v>95</v>
      </c>
      <c r="E30" s="112">
        <v>1.9829000000000001</v>
      </c>
      <c r="F30" s="5" t="s">
        <v>196</v>
      </c>
      <c r="G30" t="s">
        <v>197</v>
      </c>
      <c r="H30" s="6">
        <v>45413</v>
      </c>
      <c r="I30" s="6">
        <v>51501</v>
      </c>
      <c r="R30" s="111"/>
      <c r="S30" s="111"/>
      <c r="T30" s="117"/>
    </row>
    <row r="31" spans="1:20" x14ac:dyDescent="0.35">
      <c r="A31">
        <v>1</v>
      </c>
      <c r="B31" s="4">
        <f t="shared" si="0"/>
        <v>4</v>
      </c>
      <c r="C31">
        <v>4000</v>
      </c>
      <c r="D31" s="2">
        <v>95</v>
      </c>
      <c r="E31" s="112">
        <v>12.8085</v>
      </c>
      <c r="F31" s="5" t="s">
        <v>198</v>
      </c>
      <c r="G31" t="s">
        <v>199</v>
      </c>
      <c r="H31" s="6">
        <v>45413</v>
      </c>
      <c r="I31" s="6">
        <v>51501</v>
      </c>
      <c r="R31" s="111"/>
      <c r="S31" s="111"/>
      <c r="T31" s="117"/>
    </row>
    <row r="32" spans="1:20" x14ac:dyDescent="0.35">
      <c r="A32">
        <v>1</v>
      </c>
      <c r="B32" s="4">
        <f t="shared" si="0"/>
        <v>4.5</v>
      </c>
      <c r="C32">
        <v>4500</v>
      </c>
      <c r="D32" s="2">
        <v>95</v>
      </c>
      <c r="E32" s="112">
        <v>14.407999999999999</v>
      </c>
      <c r="F32" s="5" t="s">
        <v>200</v>
      </c>
      <c r="G32" t="s">
        <v>201</v>
      </c>
      <c r="H32" s="6">
        <v>45413</v>
      </c>
      <c r="I32" s="6">
        <v>51501</v>
      </c>
      <c r="R32" s="111"/>
      <c r="S32" s="111"/>
      <c r="T32" s="117"/>
    </row>
    <row r="33" spans="1:20" x14ac:dyDescent="0.35">
      <c r="A33">
        <v>1</v>
      </c>
      <c r="B33" s="4">
        <f t="shared" si="0"/>
        <v>0.05</v>
      </c>
      <c r="C33">
        <v>50</v>
      </c>
      <c r="D33" s="2">
        <v>95</v>
      </c>
      <c r="E33" s="112">
        <v>0.26390000000000002</v>
      </c>
      <c r="F33" s="5" t="s">
        <v>202</v>
      </c>
      <c r="G33" t="s">
        <v>203</v>
      </c>
      <c r="H33" s="6">
        <v>45413</v>
      </c>
      <c r="I33" s="6">
        <v>51501</v>
      </c>
      <c r="R33" s="111"/>
      <c r="S33" s="111"/>
      <c r="T33" s="117"/>
    </row>
    <row r="34" spans="1:20" x14ac:dyDescent="0.35">
      <c r="A34">
        <v>1</v>
      </c>
      <c r="B34" s="4">
        <f t="shared" si="0"/>
        <v>0.5</v>
      </c>
      <c r="C34">
        <v>500</v>
      </c>
      <c r="D34" s="2">
        <v>95</v>
      </c>
      <c r="E34" s="112">
        <v>2.6463000000000001</v>
      </c>
      <c r="F34" s="5" t="s">
        <v>204</v>
      </c>
      <c r="G34" t="s">
        <v>205</v>
      </c>
      <c r="H34" s="6">
        <v>45413</v>
      </c>
      <c r="I34" s="6">
        <v>51501</v>
      </c>
      <c r="R34" s="111"/>
      <c r="S34" s="111"/>
      <c r="T34" s="117"/>
    </row>
    <row r="35" spans="1:20" x14ac:dyDescent="0.35">
      <c r="A35">
        <v>1</v>
      </c>
      <c r="B35" s="4">
        <f t="shared" si="0"/>
        <v>5</v>
      </c>
      <c r="C35">
        <v>5000</v>
      </c>
      <c r="D35" s="2">
        <v>95</v>
      </c>
      <c r="E35" s="112">
        <v>16.010000000000002</v>
      </c>
      <c r="F35" s="5" t="s">
        <v>206</v>
      </c>
      <c r="G35" t="s">
        <v>207</v>
      </c>
      <c r="H35" s="6">
        <v>45413</v>
      </c>
      <c r="I35" s="6">
        <v>51501</v>
      </c>
      <c r="R35" s="111"/>
      <c r="S35" s="111"/>
      <c r="T35" s="117"/>
    </row>
    <row r="36" spans="1:20" x14ac:dyDescent="0.35">
      <c r="A36">
        <v>1</v>
      </c>
      <c r="B36" s="4">
        <f t="shared" si="0"/>
        <v>6</v>
      </c>
      <c r="C36">
        <v>6000</v>
      </c>
      <c r="D36" s="2">
        <v>95</v>
      </c>
      <c r="E36" s="112">
        <v>19.212599999999998</v>
      </c>
      <c r="F36" s="5" t="s">
        <v>208</v>
      </c>
      <c r="G36" t="s">
        <v>209</v>
      </c>
      <c r="H36" s="6">
        <v>45413</v>
      </c>
      <c r="I36" s="6">
        <v>51501</v>
      </c>
      <c r="R36" s="111"/>
      <c r="S36" s="111"/>
      <c r="T36" s="117"/>
    </row>
    <row r="37" spans="1:20" x14ac:dyDescent="0.35">
      <c r="A37">
        <v>1</v>
      </c>
      <c r="B37" s="4">
        <f t="shared" si="0"/>
        <v>0.62</v>
      </c>
      <c r="C37">
        <v>620</v>
      </c>
      <c r="D37" s="2">
        <v>95</v>
      </c>
      <c r="E37" s="112">
        <v>2.7547000000000001</v>
      </c>
      <c r="F37" s="5" t="s">
        <v>210</v>
      </c>
      <c r="G37" t="s">
        <v>211</v>
      </c>
      <c r="H37" s="6">
        <v>45413</v>
      </c>
      <c r="I37" s="6">
        <v>51501</v>
      </c>
      <c r="R37" s="111"/>
      <c r="S37" s="111"/>
      <c r="T37" s="117"/>
    </row>
    <row r="38" spans="1:20" x14ac:dyDescent="0.35">
      <c r="A38">
        <v>1</v>
      </c>
      <c r="B38" s="4">
        <f t="shared" si="0"/>
        <v>0.7</v>
      </c>
      <c r="C38">
        <v>700</v>
      </c>
      <c r="D38" s="2">
        <v>95</v>
      </c>
      <c r="E38" s="112">
        <v>3.1107</v>
      </c>
      <c r="F38" s="5" t="s">
        <v>212</v>
      </c>
      <c r="G38" t="s">
        <v>213</v>
      </c>
      <c r="H38" s="6">
        <v>45413</v>
      </c>
      <c r="I38" s="6">
        <v>51501</v>
      </c>
      <c r="R38" s="111"/>
      <c r="S38" s="111"/>
      <c r="T38" s="117"/>
    </row>
    <row r="39" spans="1:20" x14ac:dyDescent="0.35">
      <c r="A39">
        <v>1</v>
      </c>
      <c r="B39" s="4">
        <f t="shared" si="0"/>
        <v>0.72</v>
      </c>
      <c r="C39">
        <v>720</v>
      </c>
      <c r="D39" s="2">
        <v>95</v>
      </c>
      <c r="E39" s="112">
        <v>3.1987999999999999</v>
      </c>
      <c r="F39" s="5" t="s">
        <v>214</v>
      </c>
      <c r="G39" t="s">
        <v>215</v>
      </c>
      <c r="H39" s="6">
        <v>45413</v>
      </c>
      <c r="I39" s="6">
        <v>51501</v>
      </c>
      <c r="R39" s="111"/>
      <c r="S39" s="111"/>
      <c r="T39" s="117"/>
    </row>
    <row r="40" spans="1:20" x14ac:dyDescent="0.35">
      <c r="A40">
        <v>1</v>
      </c>
      <c r="B40" s="4">
        <f t="shared" si="0"/>
        <v>0.73</v>
      </c>
      <c r="C40">
        <v>730</v>
      </c>
      <c r="D40" s="2">
        <v>95</v>
      </c>
      <c r="E40" s="112">
        <v>3.2429000000000001</v>
      </c>
      <c r="F40" s="5" t="s">
        <v>216</v>
      </c>
      <c r="G40" t="s">
        <v>217</v>
      </c>
      <c r="H40" s="6">
        <v>45413</v>
      </c>
      <c r="I40" s="6">
        <v>51501</v>
      </c>
      <c r="R40" s="111"/>
      <c r="S40" s="111"/>
      <c r="T40" s="117"/>
    </row>
    <row r="41" spans="1:20" x14ac:dyDescent="0.35">
      <c r="A41">
        <v>1</v>
      </c>
      <c r="B41" s="4">
        <f t="shared" si="0"/>
        <v>0.75</v>
      </c>
      <c r="C41">
        <v>750</v>
      </c>
      <c r="D41" s="2">
        <v>95</v>
      </c>
      <c r="E41" s="112">
        <v>3.3323999999999998</v>
      </c>
      <c r="F41" s="5" t="s">
        <v>218</v>
      </c>
      <c r="G41" t="s">
        <v>219</v>
      </c>
      <c r="H41" s="6">
        <v>45413</v>
      </c>
      <c r="I41" s="6">
        <v>51501</v>
      </c>
      <c r="R41" s="111"/>
      <c r="S41" s="111"/>
      <c r="T41" s="117"/>
    </row>
    <row r="42" spans="1:20" x14ac:dyDescent="0.35">
      <c r="A42">
        <v>1</v>
      </c>
      <c r="B42" s="4">
        <f t="shared" si="0"/>
        <v>0.9</v>
      </c>
      <c r="C42">
        <v>900</v>
      </c>
      <c r="D42" s="2">
        <v>95</v>
      </c>
      <c r="E42" s="112">
        <v>3.4306999999999999</v>
      </c>
      <c r="F42" s="5" t="s">
        <v>220</v>
      </c>
      <c r="G42" t="s">
        <v>221</v>
      </c>
      <c r="H42" s="6">
        <v>45413</v>
      </c>
      <c r="I42" s="6">
        <v>51501</v>
      </c>
      <c r="R42" s="111"/>
      <c r="S42" s="111"/>
      <c r="T42" s="117"/>
    </row>
    <row r="43" spans="1:20" x14ac:dyDescent="0.35">
      <c r="A43">
        <v>1</v>
      </c>
      <c r="B43" s="4">
        <f t="shared" si="0"/>
        <v>9</v>
      </c>
      <c r="C43">
        <v>9000</v>
      </c>
      <c r="D43" s="2">
        <v>95</v>
      </c>
      <c r="E43" s="112">
        <v>24.814399999999999</v>
      </c>
      <c r="F43" s="5" t="s">
        <v>222</v>
      </c>
      <c r="G43" t="s">
        <v>223</v>
      </c>
      <c r="H43" s="6">
        <v>45413</v>
      </c>
      <c r="I43" s="6">
        <v>51501</v>
      </c>
      <c r="R43" s="111"/>
      <c r="S43" s="111"/>
      <c r="T43" s="117"/>
    </row>
    <row r="44" spans="1:20" x14ac:dyDescent="0.35">
      <c r="A44">
        <v>1</v>
      </c>
      <c r="B44" s="4">
        <f t="shared" ref="B44" si="1">C44/1000</f>
        <v>1.2</v>
      </c>
      <c r="C44">
        <v>1200</v>
      </c>
      <c r="D44" s="2">
        <v>95</v>
      </c>
      <c r="E44" s="112">
        <v>4.4362000000000004</v>
      </c>
      <c r="F44" s="5" t="s">
        <v>981</v>
      </c>
      <c r="G44" t="s">
        <v>982</v>
      </c>
      <c r="H44" s="6">
        <v>45413</v>
      </c>
      <c r="I44" s="6">
        <v>51501</v>
      </c>
      <c r="R44" s="111"/>
      <c r="S44" s="111"/>
      <c r="T44" s="117"/>
    </row>
    <row r="45" spans="1:20" x14ac:dyDescent="0.35">
      <c r="A45" s="2">
        <v>1</v>
      </c>
      <c r="B45" s="4">
        <f t="shared" ref="B45" si="2">C45/1000</f>
        <v>2.25</v>
      </c>
      <c r="C45">
        <v>2250</v>
      </c>
      <c r="D45" s="2">
        <v>95</v>
      </c>
      <c r="E45" s="112">
        <v>6.3586</v>
      </c>
      <c r="F45" s="2" t="s">
        <v>983</v>
      </c>
      <c r="G45" s="2" t="s">
        <v>984</v>
      </c>
      <c r="H45" s="6">
        <v>45413</v>
      </c>
      <c r="I45" s="6">
        <v>51501</v>
      </c>
      <c r="R45" s="111"/>
      <c r="S45" s="111"/>
      <c r="T45" s="117"/>
    </row>
    <row r="46" spans="1:20" x14ac:dyDescent="0.35">
      <c r="A46" s="2">
        <v>1</v>
      </c>
      <c r="B46" s="4">
        <f t="shared" ref="B46" si="3">C46/1000</f>
        <v>30</v>
      </c>
      <c r="C46">
        <v>30000</v>
      </c>
      <c r="D46" s="2">
        <v>95</v>
      </c>
      <c r="E46" s="112">
        <v>83.846199999999996</v>
      </c>
      <c r="F46" s="2" t="s">
        <v>985</v>
      </c>
      <c r="G46" s="2" t="s">
        <v>986</v>
      </c>
      <c r="H46" s="6">
        <v>45413</v>
      </c>
      <c r="I46" s="6">
        <v>51501</v>
      </c>
      <c r="R46" s="111"/>
      <c r="S46" s="111"/>
      <c r="T46" s="117"/>
    </row>
    <row r="47" spans="1:20" x14ac:dyDescent="0.35">
      <c r="A47" s="2">
        <v>1</v>
      </c>
      <c r="B47" s="4">
        <f t="shared" ref="B47" si="4">C47/1000</f>
        <v>0.35499999999999998</v>
      </c>
      <c r="C47">
        <v>355</v>
      </c>
      <c r="D47" s="2">
        <v>95</v>
      </c>
      <c r="E47" s="2">
        <v>1.8880999999999999</v>
      </c>
      <c r="F47" s="2" t="s">
        <v>987</v>
      </c>
      <c r="G47" s="2" t="s">
        <v>988</v>
      </c>
      <c r="H47" s="6">
        <v>45413</v>
      </c>
      <c r="I47" s="6">
        <v>51501</v>
      </c>
      <c r="R47" s="111"/>
      <c r="S47" s="111"/>
      <c r="T47" s="117"/>
    </row>
    <row r="48" spans="1:20" x14ac:dyDescent="0.35">
      <c r="A48" s="2">
        <v>1</v>
      </c>
      <c r="B48" s="4">
        <f t="shared" ref="B48" si="5">C48/1000</f>
        <v>3.75</v>
      </c>
      <c r="C48">
        <v>3750</v>
      </c>
      <c r="D48" s="2">
        <v>95</v>
      </c>
      <c r="E48" s="2">
        <v>12.976000000000001</v>
      </c>
      <c r="F48" s="2" t="s">
        <v>989</v>
      </c>
      <c r="G48" s="2" t="s">
        <v>990</v>
      </c>
      <c r="H48" s="6">
        <v>45413</v>
      </c>
      <c r="I48" s="6">
        <v>51501</v>
      </c>
      <c r="R48" s="111"/>
      <c r="S48" s="111"/>
      <c r="T48" s="117"/>
    </row>
    <row r="49" spans="1:20" x14ac:dyDescent="0.35">
      <c r="A49" s="2">
        <v>1</v>
      </c>
      <c r="B49" s="4">
        <f t="shared" ref="B49:B50" si="6">C49/1000</f>
        <v>0.47299999999999998</v>
      </c>
      <c r="C49">
        <v>473</v>
      </c>
      <c r="D49" s="2">
        <v>95</v>
      </c>
      <c r="E49" s="2">
        <v>2.16</v>
      </c>
      <c r="F49" s="2" t="s">
        <v>991</v>
      </c>
      <c r="G49" s="2" t="s">
        <v>992</v>
      </c>
      <c r="H49" s="6">
        <v>45413</v>
      </c>
      <c r="I49" s="6">
        <v>51501</v>
      </c>
      <c r="R49" s="111"/>
      <c r="S49" s="111"/>
      <c r="T49" s="117"/>
    </row>
    <row r="50" spans="1:20" x14ac:dyDescent="0.35">
      <c r="A50" s="2">
        <v>1</v>
      </c>
      <c r="B50" s="4">
        <f t="shared" si="6"/>
        <v>4.8</v>
      </c>
      <c r="C50">
        <v>4800</v>
      </c>
      <c r="D50" s="2">
        <v>95</v>
      </c>
      <c r="E50" s="2">
        <v>15.3695</v>
      </c>
      <c r="F50" s="2" t="s">
        <v>993</v>
      </c>
      <c r="G50" s="2" t="s">
        <v>994</v>
      </c>
      <c r="H50" s="6">
        <v>45413</v>
      </c>
      <c r="I50" s="6">
        <v>51501</v>
      </c>
      <c r="R50" s="111"/>
      <c r="S50" s="111"/>
      <c r="T50" s="117"/>
    </row>
    <row r="51" spans="1:20" x14ac:dyDescent="0.35">
      <c r="A51" s="2">
        <v>1</v>
      </c>
      <c r="B51" s="4">
        <f t="shared" ref="B51" si="7">C51/1000</f>
        <v>0.65</v>
      </c>
      <c r="C51">
        <v>650</v>
      </c>
      <c r="D51" s="2">
        <v>95</v>
      </c>
      <c r="E51" s="2">
        <v>2.8372999999999999</v>
      </c>
      <c r="F51" s="2" t="s">
        <v>997</v>
      </c>
      <c r="G51" s="2" t="s">
        <v>998</v>
      </c>
      <c r="H51" s="6">
        <v>45413</v>
      </c>
      <c r="I51" s="6">
        <v>51501</v>
      </c>
      <c r="R51" s="111"/>
      <c r="S51" s="111"/>
      <c r="T51" s="117"/>
    </row>
    <row r="52" spans="1:20" x14ac:dyDescent="0.35">
      <c r="H52" s="6"/>
      <c r="R52" s="111"/>
      <c r="S52" s="111"/>
      <c r="T52" s="117"/>
    </row>
    <row r="53" spans="1:20" x14ac:dyDescent="0.35">
      <c r="A53" s="2" t="s">
        <v>224</v>
      </c>
      <c r="H53" s="6"/>
      <c r="R53" s="111"/>
      <c r="S53" s="111"/>
      <c r="T53" s="117"/>
    </row>
    <row r="54" spans="1:20" x14ac:dyDescent="0.35">
      <c r="A54">
        <v>2</v>
      </c>
      <c r="B54" s="4">
        <f t="shared" ref="B54:B75" si="8">C54/1000</f>
        <v>1</v>
      </c>
      <c r="C54">
        <v>1000</v>
      </c>
      <c r="D54" s="2">
        <v>95</v>
      </c>
      <c r="E54" s="112">
        <v>7.6280999999999999</v>
      </c>
      <c r="F54" s="5" t="s">
        <v>225</v>
      </c>
      <c r="G54" t="s">
        <v>226</v>
      </c>
      <c r="H54" s="6">
        <v>45413</v>
      </c>
      <c r="I54" s="6">
        <v>51501</v>
      </c>
      <c r="R54" s="111"/>
      <c r="S54" s="111"/>
      <c r="T54" s="117"/>
    </row>
    <row r="55" spans="1:20" x14ac:dyDescent="0.35">
      <c r="A55">
        <v>2</v>
      </c>
      <c r="B55" s="4">
        <f t="shared" si="8"/>
        <v>0.1875</v>
      </c>
      <c r="C55">
        <v>187.5</v>
      </c>
      <c r="D55" s="2">
        <v>95</v>
      </c>
      <c r="E55" s="112">
        <v>1.9789000000000001</v>
      </c>
      <c r="F55" s="5" t="s">
        <v>227</v>
      </c>
      <c r="G55" t="s">
        <v>228</v>
      </c>
      <c r="H55" s="6">
        <v>45413</v>
      </c>
      <c r="I55" s="6">
        <v>51501</v>
      </c>
      <c r="R55" s="111"/>
      <c r="S55" s="111"/>
      <c r="T55" s="117"/>
    </row>
    <row r="56" spans="1:20" x14ac:dyDescent="0.35">
      <c r="A56">
        <v>2</v>
      </c>
      <c r="B56" s="4">
        <f t="shared" si="8"/>
        <v>0.2</v>
      </c>
      <c r="C56">
        <v>200</v>
      </c>
      <c r="D56" s="2">
        <v>95</v>
      </c>
      <c r="E56" s="112">
        <v>2.1185</v>
      </c>
      <c r="F56" s="5" t="s">
        <v>229</v>
      </c>
      <c r="G56" t="s">
        <v>230</v>
      </c>
      <c r="H56" s="6">
        <v>45413</v>
      </c>
      <c r="I56" s="6">
        <v>51501</v>
      </c>
      <c r="R56" s="111"/>
      <c r="S56" s="111"/>
      <c r="T56" s="117"/>
    </row>
    <row r="57" spans="1:20" x14ac:dyDescent="0.35">
      <c r="A57">
        <v>2</v>
      </c>
      <c r="B57" s="4">
        <f t="shared" si="8"/>
        <v>0.375</v>
      </c>
      <c r="C57">
        <v>375</v>
      </c>
      <c r="D57" s="2">
        <v>95</v>
      </c>
      <c r="E57" s="112">
        <v>3.9659</v>
      </c>
      <c r="F57" s="5" t="s">
        <v>231</v>
      </c>
      <c r="G57" t="s">
        <v>232</v>
      </c>
      <c r="H57" s="6">
        <v>45413</v>
      </c>
      <c r="I57" s="6">
        <v>51501</v>
      </c>
      <c r="R57" s="111"/>
      <c r="S57" s="111"/>
      <c r="T57" s="117"/>
    </row>
    <row r="58" spans="1:20" x14ac:dyDescent="0.35">
      <c r="A58">
        <v>2</v>
      </c>
      <c r="B58" s="4">
        <f t="shared" si="8"/>
        <v>4.5</v>
      </c>
      <c r="C58">
        <v>4500</v>
      </c>
      <c r="D58" s="2">
        <v>95</v>
      </c>
      <c r="E58" s="112">
        <v>24.814399999999999</v>
      </c>
      <c r="F58" s="5" t="s">
        <v>233</v>
      </c>
      <c r="G58" t="s">
        <v>234</v>
      </c>
      <c r="H58" s="6">
        <v>45413</v>
      </c>
      <c r="I58" s="6">
        <v>51501</v>
      </c>
      <c r="R58" s="111"/>
      <c r="S58" s="111"/>
      <c r="T58" s="117"/>
    </row>
    <row r="59" spans="1:20" x14ac:dyDescent="0.35">
      <c r="A59">
        <v>2</v>
      </c>
      <c r="B59" s="4">
        <f t="shared" si="8"/>
        <v>0.75</v>
      </c>
      <c r="C59">
        <v>750</v>
      </c>
      <c r="D59" s="2">
        <v>95</v>
      </c>
      <c r="E59" s="112">
        <v>6.6649000000000003</v>
      </c>
      <c r="F59" s="5" t="s">
        <v>235</v>
      </c>
      <c r="G59" t="s">
        <v>236</v>
      </c>
      <c r="H59" s="6">
        <v>45413</v>
      </c>
      <c r="I59" s="6">
        <v>51501</v>
      </c>
      <c r="R59" s="111"/>
      <c r="S59" s="111"/>
      <c r="T59" s="117"/>
    </row>
    <row r="60" spans="1:20" x14ac:dyDescent="0.35">
      <c r="A60">
        <v>3</v>
      </c>
      <c r="B60" s="4">
        <f t="shared" si="8"/>
        <v>0.2</v>
      </c>
      <c r="C60">
        <v>200</v>
      </c>
      <c r="D60" s="2">
        <v>95</v>
      </c>
      <c r="E60" s="112">
        <v>3.1642000000000001</v>
      </c>
      <c r="F60" s="5" t="s">
        <v>237</v>
      </c>
      <c r="G60" t="s">
        <v>238</v>
      </c>
      <c r="H60" s="6">
        <v>45413</v>
      </c>
      <c r="I60" s="6">
        <v>51501</v>
      </c>
      <c r="R60" s="111"/>
      <c r="S60" s="111"/>
      <c r="T60" s="117"/>
    </row>
    <row r="61" spans="1:20" x14ac:dyDescent="0.35">
      <c r="A61">
        <v>3</v>
      </c>
      <c r="B61" s="4">
        <f t="shared" si="8"/>
        <v>0.25</v>
      </c>
      <c r="C61">
        <v>250</v>
      </c>
      <c r="D61" s="2">
        <v>95</v>
      </c>
      <c r="E61" s="112">
        <v>3.9668999999999999</v>
      </c>
      <c r="F61" s="5" t="s">
        <v>239</v>
      </c>
      <c r="G61" t="s">
        <v>240</v>
      </c>
      <c r="H61" s="6">
        <v>45413</v>
      </c>
      <c r="I61" s="6">
        <v>51501</v>
      </c>
      <c r="R61" s="111"/>
      <c r="S61" s="111"/>
      <c r="T61" s="117"/>
    </row>
    <row r="62" spans="1:20" x14ac:dyDescent="0.35">
      <c r="A62">
        <v>3</v>
      </c>
      <c r="B62" s="4">
        <f t="shared" si="8"/>
        <v>0.375</v>
      </c>
      <c r="C62">
        <v>375</v>
      </c>
      <c r="D62" s="2">
        <v>95</v>
      </c>
      <c r="E62" s="112">
        <v>5.9492000000000003</v>
      </c>
      <c r="F62" s="5" t="s">
        <v>241</v>
      </c>
      <c r="G62" t="s">
        <v>242</v>
      </c>
      <c r="H62" s="6">
        <v>45413</v>
      </c>
      <c r="I62" s="6">
        <v>51501</v>
      </c>
      <c r="R62" s="111"/>
      <c r="S62" s="111"/>
      <c r="T62" s="117"/>
    </row>
    <row r="63" spans="1:20" x14ac:dyDescent="0.35">
      <c r="A63">
        <v>3</v>
      </c>
      <c r="B63" s="4">
        <f t="shared" si="8"/>
        <v>0.05</v>
      </c>
      <c r="C63">
        <v>50</v>
      </c>
      <c r="D63" s="2">
        <v>95</v>
      </c>
      <c r="E63" s="112">
        <v>0.79190000000000005</v>
      </c>
      <c r="F63" s="5" t="s">
        <v>243</v>
      </c>
      <c r="G63" t="s">
        <v>244</v>
      </c>
      <c r="H63" s="6">
        <v>45413</v>
      </c>
      <c r="I63" s="6">
        <v>51501</v>
      </c>
      <c r="R63" s="111"/>
      <c r="S63" s="111"/>
      <c r="T63" s="117"/>
    </row>
    <row r="64" spans="1:20" x14ac:dyDescent="0.35">
      <c r="A64">
        <v>3</v>
      </c>
      <c r="B64" s="4">
        <f t="shared" si="8"/>
        <v>0.75</v>
      </c>
      <c r="C64">
        <v>750</v>
      </c>
      <c r="D64" s="2">
        <v>95</v>
      </c>
      <c r="E64" s="112">
        <v>9.9974000000000007</v>
      </c>
      <c r="F64" s="5" t="s">
        <v>245</v>
      </c>
      <c r="G64" t="s">
        <v>246</v>
      </c>
      <c r="H64" s="6">
        <v>45413</v>
      </c>
      <c r="I64" s="6">
        <v>51501</v>
      </c>
      <c r="R64" s="111"/>
      <c r="S64" s="111"/>
      <c r="T64" s="117"/>
    </row>
    <row r="65" spans="1:20" x14ac:dyDescent="0.35">
      <c r="A65">
        <v>4</v>
      </c>
      <c r="B65" s="4">
        <f t="shared" si="8"/>
        <v>0.187</v>
      </c>
      <c r="C65">
        <v>187</v>
      </c>
      <c r="D65" s="2">
        <v>95</v>
      </c>
      <c r="E65" s="112">
        <v>3.9577</v>
      </c>
      <c r="F65" s="5" t="s">
        <v>247</v>
      </c>
      <c r="G65" t="s">
        <v>248</v>
      </c>
      <c r="H65" s="6">
        <v>45413</v>
      </c>
      <c r="I65" s="6">
        <v>51501</v>
      </c>
      <c r="R65" s="111"/>
      <c r="S65" s="111"/>
      <c r="T65" s="117"/>
    </row>
    <row r="66" spans="1:20" x14ac:dyDescent="0.35">
      <c r="A66">
        <v>4</v>
      </c>
      <c r="B66" s="4">
        <f t="shared" si="8"/>
        <v>0.1875</v>
      </c>
      <c r="C66">
        <v>187.5</v>
      </c>
      <c r="D66" s="2">
        <v>95</v>
      </c>
      <c r="E66" s="112">
        <v>3.9685999999999999</v>
      </c>
      <c r="F66" s="5" t="s">
        <v>249</v>
      </c>
      <c r="G66" t="s">
        <v>250</v>
      </c>
      <c r="H66" s="6">
        <v>45413</v>
      </c>
      <c r="I66" s="6">
        <v>51501</v>
      </c>
      <c r="R66" s="111"/>
      <c r="S66" s="111"/>
      <c r="T66" s="117"/>
    </row>
    <row r="67" spans="1:20" x14ac:dyDescent="0.35">
      <c r="A67">
        <v>4</v>
      </c>
      <c r="B67" s="4">
        <f t="shared" si="8"/>
        <v>0.2</v>
      </c>
      <c r="C67">
        <v>200</v>
      </c>
      <c r="D67" s="2">
        <v>95</v>
      </c>
      <c r="E67" s="112">
        <v>4.2374000000000001</v>
      </c>
      <c r="F67" s="5" t="s">
        <v>251</v>
      </c>
      <c r="G67" t="s">
        <v>252</v>
      </c>
      <c r="H67" s="6">
        <v>45413</v>
      </c>
      <c r="I67" s="6">
        <v>51501</v>
      </c>
      <c r="R67" s="111"/>
      <c r="S67" s="111"/>
      <c r="T67" s="117"/>
    </row>
    <row r="68" spans="1:20" x14ac:dyDescent="0.35">
      <c r="A68">
        <v>4</v>
      </c>
      <c r="B68" s="4">
        <f t="shared" si="8"/>
        <v>0.25</v>
      </c>
      <c r="C68">
        <v>250</v>
      </c>
      <c r="D68" s="2">
        <v>95</v>
      </c>
      <c r="E68" s="112">
        <v>5.2896999999999998</v>
      </c>
      <c r="F68" s="5" t="s">
        <v>253</v>
      </c>
      <c r="G68" t="s">
        <v>254</v>
      </c>
      <c r="H68" s="6">
        <v>45413</v>
      </c>
      <c r="I68" s="6">
        <v>51501</v>
      </c>
      <c r="R68" s="111"/>
      <c r="S68" s="111"/>
      <c r="T68" s="117"/>
    </row>
    <row r="69" spans="1:20" x14ac:dyDescent="0.35">
      <c r="A69">
        <v>4</v>
      </c>
      <c r="B69" s="4">
        <f t="shared" si="8"/>
        <v>0.375</v>
      </c>
      <c r="C69">
        <v>375</v>
      </c>
      <c r="D69" s="2">
        <v>95</v>
      </c>
      <c r="E69" s="112">
        <v>7.9321000000000002</v>
      </c>
      <c r="F69" s="5" t="s">
        <v>255</v>
      </c>
      <c r="G69" t="s">
        <v>256</v>
      </c>
      <c r="H69" s="6">
        <v>45413</v>
      </c>
      <c r="I69" s="6">
        <v>51501</v>
      </c>
      <c r="R69" s="111"/>
      <c r="S69" s="111"/>
      <c r="T69" s="117"/>
    </row>
    <row r="70" spans="1:20" x14ac:dyDescent="0.35">
      <c r="A70">
        <v>4</v>
      </c>
      <c r="B70" s="4">
        <f t="shared" si="8"/>
        <v>0.5</v>
      </c>
      <c r="C70">
        <v>500</v>
      </c>
      <c r="D70" s="2">
        <v>95</v>
      </c>
      <c r="E70" s="112">
        <v>10.5854</v>
      </c>
      <c r="F70" s="5" t="s">
        <v>257</v>
      </c>
      <c r="G70" t="s">
        <v>258</v>
      </c>
      <c r="H70" s="6">
        <v>45413</v>
      </c>
      <c r="I70" s="6">
        <v>51501</v>
      </c>
      <c r="R70" s="111"/>
      <c r="S70" s="111"/>
      <c r="T70" s="117"/>
    </row>
    <row r="71" spans="1:20" x14ac:dyDescent="0.35">
      <c r="A71">
        <v>6</v>
      </c>
      <c r="B71" s="4">
        <f t="shared" si="8"/>
        <v>0.187</v>
      </c>
      <c r="C71">
        <v>187</v>
      </c>
      <c r="D71" s="2">
        <v>95</v>
      </c>
      <c r="E71" s="112">
        <v>5.9366000000000003</v>
      </c>
      <c r="F71" s="5" t="s">
        <v>259</v>
      </c>
      <c r="G71" t="s">
        <v>260</v>
      </c>
      <c r="H71" s="6">
        <v>45413</v>
      </c>
      <c r="I71" s="6">
        <v>51501</v>
      </c>
      <c r="R71" s="111"/>
      <c r="S71" s="111"/>
      <c r="T71" s="117"/>
    </row>
    <row r="72" spans="1:20" x14ac:dyDescent="0.35">
      <c r="A72">
        <v>6</v>
      </c>
      <c r="B72" s="4">
        <f t="shared" si="8"/>
        <v>0.25</v>
      </c>
      <c r="C72">
        <v>250</v>
      </c>
      <c r="D72" s="2">
        <v>95</v>
      </c>
      <c r="E72" s="112">
        <v>7.9348000000000001</v>
      </c>
      <c r="F72" s="5" t="s">
        <v>261</v>
      </c>
      <c r="G72" t="s">
        <v>262</v>
      </c>
      <c r="H72" s="6">
        <v>45413</v>
      </c>
      <c r="I72" s="6">
        <v>51501</v>
      </c>
      <c r="R72" s="111"/>
      <c r="S72" s="111"/>
      <c r="T72" s="117"/>
    </row>
    <row r="73" spans="1:20" x14ac:dyDescent="0.35">
      <c r="A73">
        <v>6</v>
      </c>
      <c r="B73" s="4">
        <f t="shared" si="8"/>
        <v>0.05</v>
      </c>
      <c r="C73">
        <v>50</v>
      </c>
      <c r="D73" s="2">
        <v>95</v>
      </c>
      <c r="E73" s="112">
        <v>1.5846</v>
      </c>
      <c r="F73" s="5" t="s">
        <v>263</v>
      </c>
      <c r="G73" t="s">
        <v>264</v>
      </c>
      <c r="H73" s="6">
        <v>45413</v>
      </c>
      <c r="I73" s="6">
        <v>51501</v>
      </c>
      <c r="R73" s="111"/>
      <c r="S73" s="111"/>
      <c r="T73" s="117"/>
    </row>
    <row r="74" spans="1:20" x14ac:dyDescent="0.35">
      <c r="A74">
        <v>6</v>
      </c>
      <c r="B74" s="4">
        <f t="shared" si="8"/>
        <v>0.75</v>
      </c>
      <c r="C74">
        <v>750</v>
      </c>
      <c r="D74" s="2">
        <v>95</v>
      </c>
      <c r="E74" s="112">
        <v>19.994399999999999</v>
      </c>
      <c r="F74" s="5" t="s">
        <v>265</v>
      </c>
      <c r="G74" t="s">
        <v>266</v>
      </c>
      <c r="H74" s="6">
        <v>45413</v>
      </c>
      <c r="I74" s="6">
        <v>51501</v>
      </c>
      <c r="R74" s="111"/>
      <c r="S74" s="111"/>
      <c r="T74" s="117"/>
    </row>
    <row r="75" spans="1:20" x14ac:dyDescent="0.35">
      <c r="A75">
        <v>12</v>
      </c>
      <c r="B75" s="4">
        <f t="shared" si="8"/>
        <v>0.05</v>
      </c>
      <c r="C75">
        <v>50</v>
      </c>
      <c r="D75" s="2">
        <v>95</v>
      </c>
      <c r="E75" s="112">
        <v>3.1682999999999999</v>
      </c>
      <c r="F75" s="5" t="s">
        <v>267</v>
      </c>
      <c r="G75" t="s">
        <v>268</v>
      </c>
      <c r="H75" s="6">
        <v>45413</v>
      </c>
      <c r="I75" s="6">
        <v>51501</v>
      </c>
      <c r="R75" s="111"/>
      <c r="S75" s="111"/>
      <c r="T75" s="117"/>
    </row>
    <row r="76" spans="1:20" x14ac:dyDescent="0.35">
      <c r="A76">
        <v>4</v>
      </c>
      <c r="B76" s="4">
        <f t="shared" ref="B76" si="9">C76/1000</f>
        <v>0.75</v>
      </c>
      <c r="C76">
        <v>750</v>
      </c>
      <c r="D76" s="2">
        <v>95</v>
      </c>
      <c r="E76" s="2">
        <v>13.326000000000001</v>
      </c>
      <c r="F76" s="2" t="s">
        <v>995</v>
      </c>
      <c r="G76" s="2" t="s">
        <v>996</v>
      </c>
      <c r="H76" s="6">
        <v>45413</v>
      </c>
      <c r="I76" s="6">
        <v>51501</v>
      </c>
      <c r="R76" s="111"/>
      <c r="S76" s="111"/>
      <c r="T76" s="117"/>
    </row>
    <row r="77" spans="1:20" x14ac:dyDescent="0.35">
      <c r="A77">
        <v>8</v>
      </c>
      <c r="B77" s="4">
        <f t="shared" ref="B77" si="10">C77/1000</f>
        <v>0.75</v>
      </c>
      <c r="C77">
        <v>750</v>
      </c>
      <c r="D77" s="2">
        <v>95</v>
      </c>
      <c r="E77" s="2">
        <v>26.659099999999999</v>
      </c>
      <c r="F77" s="2" t="s">
        <v>999</v>
      </c>
      <c r="G77" s="2" t="s">
        <v>1000</v>
      </c>
      <c r="H77" s="6">
        <v>45413</v>
      </c>
      <c r="I77" s="6">
        <v>51501</v>
      </c>
      <c r="R77" s="111"/>
      <c r="S77" s="111"/>
      <c r="T77" s="117"/>
    </row>
    <row r="86" spans="10:11" ht="13.5" customHeight="1" x14ac:dyDescent="0.35">
      <c r="J86" s="115"/>
      <c r="K86" s="10"/>
    </row>
  </sheetData>
  <conditionalFormatting sqref="B4:B43 B2">
    <cfRule type="duplicateValues" dxfId="16" priority="8"/>
  </conditionalFormatting>
  <conditionalFormatting sqref="B44">
    <cfRule type="duplicateValues" dxfId="15" priority="7"/>
  </conditionalFormatting>
  <conditionalFormatting sqref="B45">
    <cfRule type="duplicateValues" dxfId="14" priority="6"/>
  </conditionalFormatting>
  <conditionalFormatting sqref="B46">
    <cfRule type="duplicateValues" dxfId="13" priority="5"/>
  </conditionalFormatting>
  <conditionalFormatting sqref="B47">
    <cfRule type="duplicateValues" dxfId="12" priority="4"/>
  </conditionalFormatting>
  <conditionalFormatting sqref="B48">
    <cfRule type="duplicateValues" dxfId="11" priority="3"/>
  </conditionalFormatting>
  <conditionalFormatting sqref="B49:B50">
    <cfRule type="duplicateValues" dxfId="10" priority="2"/>
  </conditionalFormatting>
  <conditionalFormatting sqref="B51">
    <cfRule type="duplicateValues" dxfId="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E49"/>
  <sheetViews>
    <sheetView workbookViewId="0">
      <selection sqref="A1:XFD1048576"/>
    </sheetView>
  </sheetViews>
  <sheetFormatPr defaultRowHeight="14.5" x14ac:dyDescent="0.35"/>
  <cols>
    <col min="5" max="5" width="17.1796875" bestFit="1" customWidth="1"/>
    <col min="7" max="7" width="26.81640625" bestFit="1" customWidth="1"/>
    <col min="8" max="8" width="12.453125" bestFit="1" customWidth="1"/>
    <col min="9" max="9" width="10.81640625" bestFit="1" customWidth="1"/>
    <col min="10" max="10" width="2.1796875" customWidth="1"/>
    <col min="19" max="19" width="26.81640625" bestFit="1" customWidth="1"/>
    <col min="20" max="20" width="13.54296875" bestFit="1" customWidth="1"/>
    <col min="21" max="21" width="11" bestFit="1" customWidth="1"/>
    <col min="22" max="22" width="1.81640625" customWidth="1"/>
  </cols>
  <sheetData>
    <row r="1" spans="1:31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867</v>
      </c>
    </row>
    <row r="2" spans="1:31" x14ac:dyDescent="0.35">
      <c r="A2">
        <v>1</v>
      </c>
      <c r="B2" s="4">
        <f t="shared" ref="B2:B45" si="0">C2/1000</f>
        <v>0.05</v>
      </c>
      <c r="C2">
        <v>50</v>
      </c>
      <c r="D2">
        <v>95</v>
      </c>
      <c r="E2" s="112">
        <v>0.16270000000000001</v>
      </c>
      <c r="F2" s="5" t="s">
        <v>269</v>
      </c>
      <c r="G2" t="s">
        <v>270</v>
      </c>
      <c r="H2" s="6">
        <v>45413</v>
      </c>
      <c r="I2" s="6">
        <v>51501</v>
      </c>
      <c r="J2" s="11"/>
      <c r="L2">
        <v>2</v>
      </c>
      <c r="M2" s="4">
        <f t="shared" ref="M2:M28" si="1">N2/1000</f>
        <v>0.27500000000000002</v>
      </c>
      <c r="N2">
        <v>275</v>
      </c>
      <c r="O2" s="4">
        <f>SUM(L2*M2)</f>
        <v>0.55000000000000004</v>
      </c>
      <c r="P2">
        <v>95</v>
      </c>
      <c r="Q2" s="112">
        <v>1.7901</v>
      </c>
      <c r="R2" s="5" t="s">
        <v>271</v>
      </c>
      <c r="S2" t="s">
        <v>272</v>
      </c>
      <c r="T2" s="6">
        <v>45413</v>
      </c>
      <c r="U2" s="6">
        <v>51501</v>
      </c>
      <c r="V2" s="9"/>
      <c r="X2" t="s">
        <v>863</v>
      </c>
      <c r="Y2" t="s">
        <v>864</v>
      </c>
      <c r="Z2" t="s">
        <v>865</v>
      </c>
      <c r="AD2" s="112"/>
      <c r="AE2" s="117"/>
    </row>
    <row r="3" spans="1:31" x14ac:dyDescent="0.35">
      <c r="A3">
        <v>1</v>
      </c>
      <c r="B3" s="4">
        <f t="shared" si="0"/>
        <v>0.1</v>
      </c>
      <c r="C3">
        <v>100</v>
      </c>
      <c r="D3">
        <v>95</v>
      </c>
      <c r="E3" s="112">
        <v>0.314</v>
      </c>
      <c r="F3" s="5" t="s">
        <v>273</v>
      </c>
      <c r="G3" t="s">
        <v>274</v>
      </c>
      <c r="H3" s="6">
        <v>45413</v>
      </c>
      <c r="I3" s="6">
        <v>51501</v>
      </c>
      <c r="J3" s="11"/>
      <c r="L3">
        <v>4</v>
      </c>
      <c r="M3" s="4">
        <f t="shared" si="1"/>
        <v>0.25</v>
      </c>
      <c r="N3">
        <v>250</v>
      </c>
      <c r="O3" s="4">
        <f t="shared" ref="O3:O28" si="2">SUM(L3*M3)</f>
        <v>1</v>
      </c>
      <c r="P3">
        <v>95</v>
      </c>
      <c r="Q3" s="112">
        <v>3.2544</v>
      </c>
      <c r="R3" s="5" t="s">
        <v>275</v>
      </c>
      <c r="S3" t="s">
        <v>276</v>
      </c>
      <c r="T3" s="6">
        <v>45413</v>
      </c>
      <c r="U3" s="6">
        <v>51501</v>
      </c>
      <c r="V3" s="9"/>
      <c r="X3">
        <v>1</v>
      </c>
      <c r="Y3">
        <v>42.11</v>
      </c>
      <c r="Z3">
        <v>1.2725</v>
      </c>
      <c r="AD3" s="112"/>
      <c r="AE3" s="117"/>
    </row>
    <row r="4" spans="1:31" x14ac:dyDescent="0.35">
      <c r="A4">
        <v>1</v>
      </c>
      <c r="B4" s="4">
        <f t="shared" si="0"/>
        <v>0.187</v>
      </c>
      <c r="C4">
        <v>187</v>
      </c>
      <c r="D4">
        <v>95</v>
      </c>
      <c r="E4" s="112">
        <v>0.60860000000000003</v>
      </c>
      <c r="F4" s="5" t="s">
        <v>277</v>
      </c>
      <c r="G4" t="s">
        <v>278</v>
      </c>
      <c r="H4" s="6">
        <v>45413</v>
      </c>
      <c r="I4" s="6">
        <v>51501</v>
      </c>
      <c r="J4" s="11"/>
      <c r="L4">
        <v>4</v>
      </c>
      <c r="M4" s="4">
        <f t="shared" si="1"/>
        <v>0.27500000000000002</v>
      </c>
      <c r="N4">
        <v>275</v>
      </c>
      <c r="O4" s="4">
        <f t="shared" si="2"/>
        <v>1.1000000000000001</v>
      </c>
      <c r="P4">
        <v>95</v>
      </c>
      <c r="Q4" s="112">
        <v>3.5806</v>
      </c>
      <c r="R4" s="5" t="s">
        <v>279</v>
      </c>
      <c r="S4" t="s">
        <v>280</v>
      </c>
      <c r="T4" s="6">
        <v>45413</v>
      </c>
      <c r="U4" s="6">
        <v>51501</v>
      </c>
      <c r="V4" s="9"/>
      <c r="AD4" s="112"/>
      <c r="AE4" s="117"/>
    </row>
    <row r="5" spans="1:31" x14ac:dyDescent="0.35">
      <c r="A5">
        <v>1</v>
      </c>
      <c r="B5" s="4">
        <f t="shared" si="0"/>
        <v>0.2</v>
      </c>
      <c r="C5">
        <v>200</v>
      </c>
      <c r="D5">
        <v>95</v>
      </c>
      <c r="E5" s="112">
        <v>0.6512</v>
      </c>
      <c r="F5" s="5" t="s">
        <v>281</v>
      </c>
      <c r="G5" t="s">
        <v>282</v>
      </c>
      <c r="H5" s="6">
        <v>45413</v>
      </c>
      <c r="I5" s="6">
        <v>51501</v>
      </c>
      <c r="J5" s="11"/>
      <c r="L5">
        <v>4</v>
      </c>
      <c r="M5" s="4">
        <f t="shared" si="1"/>
        <v>0.3</v>
      </c>
      <c r="N5">
        <v>300</v>
      </c>
      <c r="O5" s="4">
        <f t="shared" si="2"/>
        <v>1.2</v>
      </c>
      <c r="P5">
        <v>95</v>
      </c>
      <c r="Q5" s="112">
        <v>3.907</v>
      </c>
      <c r="R5" s="5" t="s">
        <v>283</v>
      </c>
      <c r="S5" t="s">
        <v>284</v>
      </c>
      <c r="T5" s="6">
        <v>45413</v>
      </c>
      <c r="U5" s="6">
        <v>51501</v>
      </c>
      <c r="V5" s="9"/>
      <c r="AD5" s="112"/>
      <c r="AE5" s="117"/>
    </row>
    <row r="6" spans="1:31" x14ac:dyDescent="0.35">
      <c r="A6">
        <v>1</v>
      </c>
      <c r="B6" s="4">
        <f t="shared" si="0"/>
        <v>0.23699999999999999</v>
      </c>
      <c r="C6">
        <v>237</v>
      </c>
      <c r="D6">
        <v>95</v>
      </c>
      <c r="E6" s="112">
        <v>0.77100000000000002</v>
      </c>
      <c r="F6" s="5" t="s">
        <v>285</v>
      </c>
      <c r="G6" t="s">
        <v>286</v>
      </c>
      <c r="H6" s="6">
        <v>45413</v>
      </c>
      <c r="I6" s="6">
        <v>51501</v>
      </c>
      <c r="J6" s="11"/>
      <c r="L6">
        <v>4</v>
      </c>
      <c r="M6" s="4">
        <f t="shared" si="1"/>
        <v>0.33</v>
      </c>
      <c r="N6">
        <v>330</v>
      </c>
      <c r="O6" s="4">
        <f t="shared" si="2"/>
        <v>1.32</v>
      </c>
      <c r="P6">
        <v>95</v>
      </c>
      <c r="Q6" s="112">
        <v>3.7258</v>
      </c>
      <c r="R6" s="5" t="s">
        <v>287</v>
      </c>
      <c r="S6" t="s">
        <v>288</v>
      </c>
      <c r="T6" s="6">
        <v>45413</v>
      </c>
      <c r="U6" s="6">
        <v>51501</v>
      </c>
      <c r="V6" s="9"/>
      <c r="AD6" s="112"/>
      <c r="AE6" s="117"/>
    </row>
    <row r="7" spans="1:31" x14ac:dyDescent="0.35">
      <c r="A7">
        <v>1</v>
      </c>
      <c r="B7" s="4">
        <f t="shared" si="0"/>
        <v>0.25</v>
      </c>
      <c r="C7">
        <v>250</v>
      </c>
      <c r="D7">
        <v>95</v>
      </c>
      <c r="E7" s="112">
        <v>0.81359999999999999</v>
      </c>
      <c r="F7" s="5" t="s">
        <v>289</v>
      </c>
      <c r="G7" t="s">
        <v>290</v>
      </c>
      <c r="H7" s="6">
        <v>45413</v>
      </c>
      <c r="I7" s="6">
        <v>51501</v>
      </c>
      <c r="J7" s="11"/>
      <c r="L7">
        <v>4</v>
      </c>
      <c r="M7" s="4">
        <f t="shared" si="1"/>
        <v>0.33300000000000002</v>
      </c>
      <c r="N7">
        <v>333</v>
      </c>
      <c r="O7" s="4">
        <f t="shared" si="2"/>
        <v>1.3320000000000001</v>
      </c>
      <c r="P7">
        <v>95</v>
      </c>
      <c r="Q7" s="112">
        <v>3.7601</v>
      </c>
      <c r="R7" s="5" t="s">
        <v>291</v>
      </c>
      <c r="S7" t="s">
        <v>292</v>
      </c>
      <c r="T7" s="6">
        <v>45413</v>
      </c>
      <c r="U7" s="6">
        <v>51501</v>
      </c>
      <c r="V7" s="9"/>
      <c r="AD7" s="112"/>
      <c r="AE7" s="117"/>
    </row>
    <row r="8" spans="1:31" x14ac:dyDescent="0.35">
      <c r="A8">
        <v>1</v>
      </c>
      <c r="B8" s="4">
        <f t="shared" si="0"/>
        <v>0.27</v>
      </c>
      <c r="C8">
        <v>270</v>
      </c>
      <c r="D8">
        <v>95</v>
      </c>
      <c r="E8" s="112">
        <v>0.87890000000000001</v>
      </c>
      <c r="F8" s="5" t="s">
        <v>293</v>
      </c>
      <c r="G8" t="s">
        <v>294</v>
      </c>
      <c r="H8" s="6">
        <v>45413</v>
      </c>
      <c r="I8" s="6">
        <v>51501</v>
      </c>
      <c r="J8" s="11"/>
      <c r="L8">
        <v>4</v>
      </c>
      <c r="M8" s="4">
        <f t="shared" si="1"/>
        <v>0.34</v>
      </c>
      <c r="N8">
        <v>340</v>
      </c>
      <c r="O8" s="4">
        <f t="shared" si="2"/>
        <v>1.36</v>
      </c>
      <c r="P8">
        <v>95</v>
      </c>
      <c r="Q8" s="112">
        <v>3.8393000000000002</v>
      </c>
      <c r="R8" s="5" t="s">
        <v>295</v>
      </c>
      <c r="S8" t="s">
        <v>296</v>
      </c>
      <c r="T8" s="6">
        <v>45413</v>
      </c>
      <c r="U8" s="6">
        <v>51501</v>
      </c>
      <c r="V8" s="9"/>
      <c r="AD8" s="112"/>
      <c r="AE8" s="117"/>
    </row>
    <row r="9" spans="1:31" x14ac:dyDescent="0.35">
      <c r="A9">
        <v>1</v>
      </c>
      <c r="B9" s="4">
        <f t="shared" si="0"/>
        <v>0.27500000000000002</v>
      </c>
      <c r="C9">
        <v>275</v>
      </c>
      <c r="D9">
        <v>95</v>
      </c>
      <c r="E9" s="112">
        <v>0.89510000000000001</v>
      </c>
      <c r="F9" s="5" t="s">
        <v>297</v>
      </c>
      <c r="G9" t="s">
        <v>298</v>
      </c>
      <c r="H9" s="6">
        <v>45413</v>
      </c>
      <c r="I9" s="6">
        <v>51501</v>
      </c>
      <c r="J9" s="11"/>
      <c r="L9">
        <v>4</v>
      </c>
      <c r="M9" s="4">
        <f t="shared" si="1"/>
        <v>0.34100000000000003</v>
      </c>
      <c r="N9">
        <v>341</v>
      </c>
      <c r="O9" s="4">
        <f t="shared" si="2"/>
        <v>1.3640000000000001</v>
      </c>
      <c r="P9">
        <v>95</v>
      </c>
      <c r="Q9" s="112">
        <v>3.8498999999999999</v>
      </c>
      <c r="R9" s="5" t="s">
        <v>299</v>
      </c>
      <c r="S9" t="s">
        <v>300</v>
      </c>
      <c r="T9" s="6">
        <v>45413</v>
      </c>
      <c r="U9" s="6">
        <v>51501</v>
      </c>
      <c r="V9" s="9"/>
      <c r="AD9" s="112"/>
      <c r="AE9" s="117"/>
    </row>
    <row r="10" spans="1:31" x14ac:dyDescent="0.35">
      <c r="A10">
        <v>1</v>
      </c>
      <c r="B10" s="4">
        <f t="shared" si="0"/>
        <v>0.29599999999999999</v>
      </c>
      <c r="C10">
        <v>296</v>
      </c>
      <c r="D10">
        <v>95</v>
      </c>
      <c r="E10" s="112">
        <v>0.91830000000000001</v>
      </c>
      <c r="F10" s="5" t="s">
        <v>301</v>
      </c>
      <c r="G10" t="s">
        <v>302</v>
      </c>
      <c r="H10" s="6">
        <v>45413</v>
      </c>
      <c r="I10" s="6">
        <v>51501</v>
      </c>
      <c r="J10" s="11"/>
      <c r="L10">
        <v>4</v>
      </c>
      <c r="M10" s="4">
        <f t="shared" si="1"/>
        <v>0.35499999999999998</v>
      </c>
      <c r="N10">
        <v>355</v>
      </c>
      <c r="O10" s="4">
        <f t="shared" si="2"/>
        <v>1.42</v>
      </c>
      <c r="P10">
        <v>95</v>
      </c>
      <c r="Q10" s="112">
        <v>4.008</v>
      </c>
      <c r="R10" s="5" t="s">
        <v>303</v>
      </c>
      <c r="S10" t="s">
        <v>304</v>
      </c>
      <c r="T10" s="6">
        <v>45413</v>
      </c>
      <c r="U10" s="6">
        <v>51501</v>
      </c>
      <c r="V10" s="9"/>
      <c r="AD10" s="112"/>
      <c r="AE10" s="117"/>
    </row>
    <row r="11" spans="1:31" x14ac:dyDescent="0.35">
      <c r="A11">
        <v>1</v>
      </c>
      <c r="B11" s="4">
        <f t="shared" si="0"/>
        <v>0.3</v>
      </c>
      <c r="C11">
        <v>300</v>
      </c>
      <c r="D11">
        <v>95</v>
      </c>
      <c r="E11" s="112">
        <v>0.93049999999999999</v>
      </c>
      <c r="F11" s="5" t="s">
        <v>305</v>
      </c>
      <c r="G11" t="s">
        <v>306</v>
      </c>
      <c r="H11" s="6">
        <v>45413</v>
      </c>
      <c r="I11" s="6">
        <v>51501</v>
      </c>
      <c r="J11" s="11"/>
      <c r="L11">
        <v>4</v>
      </c>
      <c r="M11" s="4">
        <f t="shared" si="1"/>
        <v>0.4</v>
      </c>
      <c r="N11">
        <v>400</v>
      </c>
      <c r="O11" s="4">
        <f t="shared" si="2"/>
        <v>1.6</v>
      </c>
      <c r="P11">
        <v>95</v>
      </c>
      <c r="Q11" s="112">
        <v>5.2961999999999998</v>
      </c>
      <c r="R11" s="5" t="s">
        <v>307</v>
      </c>
      <c r="S11" t="s">
        <v>308</v>
      </c>
      <c r="T11" s="6">
        <v>45413</v>
      </c>
      <c r="U11" s="6">
        <v>51501</v>
      </c>
      <c r="V11" s="9"/>
      <c r="AD11" s="112"/>
      <c r="AE11" s="117"/>
    </row>
    <row r="12" spans="1:31" x14ac:dyDescent="0.35">
      <c r="A12">
        <v>1</v>
      </c>
      <c r="B12" s="4">
        <f t="shared" si="0"/>
        <v>0.33</v>
      </c>
      <c r="C12">
        <v>330</v>
      </c>
      <c r="D12">
        <v>95</v>
      </c>
      <c r="E12" s="112">
        <v>1.0744</v>
      </c>
      <c r="F12" s="5" t="s">
        <v>309</v>
      </c>
      <c r="G12" t="s">
        <v>310</v>
      </c>
      <c r="H12" s="6">
        <v>45413</v>
      </c>
      <c r="I12" s="6">
        <v>51501</v>
      </c>
      <c r="J12" s="11"/>
      <c r="L12">
        <v>4</v>
      </c>
      <c r="M12" s="4">
        <f t="shared" si="1"/>
        <v>0.47299999999999998</v>
      </c>
      <c r="N12">
        <v>473</v>
      </c>
      <c r="O12" s="4">
        <f t="shared" si="2"/>
        <v>1.8919999999999999</v>
      </c>
      <c r="P12">
        <v>95</v>
      </c>
      <c r="Q12" s="112">
        <v>4.1054000000000004</v>
      </c>
      <c r="R12" s="5" t="s">
        <v>311</v>
      </c>
      <c r="S12" t="s">
        <v>312</v>
      </c>
      <c r="T12" s="6">
        <v>45413</v>
      </c>
      <c r="U12" s="6">
        <v>51501</v>
      </c>
      <c r="V12" s="9"/>
      <c r="AD12" s="112"/>
      <c r="AE12" s="117"/>
    </row>
    <row r="13" spans="1:31" x14ac:dyDescent="0.35">
      <c r="A13">
        <v>1</v>
      </c>
      <c r="B13" s="4">
        <f t="shared" si="0"/>
        <v>0.33300000000000002</v>
      </c>
      <c r="C13">
        <v>333</v>
      </c>
      <c r="D13">
        <v>95</v>
      </c>
      <c r="E13" s="112">
        <v>1.0837000000000001</v>
      </c>
      <c r="F13" s="5" t="s">
        <v>313</v>
      </c>
      <c r="G13" t="s">
        <v>314</v>
      </c>
      <c r="H13" s="6">
        <v>45413</v>
      </c>
      <c r="I13" s="6">
        <v>51501</v>
      </c>
      <c r="J13" s="11"/>
      <c r="L13">
        <v>4</v>
      </c>
      <c r="M13" s="4">
        <f t="shared" si="1"/>
        <v>0.5</v>
      </c>
      <c r="N13">
        <v>500</v>
      </c>
      <c r="O13" s="4">
        <f t="shared" si="2"/>
        <v>2</v>
      </c>
      <c r="P13">
        <v>95</v>
      </c>
      <c r="Q13" s="112">
        <v>5.0370999999999997</v>
      </c>
      <c r="R13" s="5" t="s">
        <v>315</v>
      </c>
      <c r="S13" t="s">
        <v>316</v>
      </c>
      <c r="T13" s="6">
        <v>45413</v>
      </c>
      <c r="U13" s="6">
        <v>51501</v>
      </c>
      <c r="V13" s="9"/>
      <c r="AD13" s="112"/>
      <c r="AE13" s="117"/>
    </row>
    <row r="14" spans="1:31" x14ac:dyDescent="0.35">
      <c r="A14">
        <v>1</v>
      </c>
      <c r="B14" s="4">
        <f t="shared" si="0"/>
        <v>0.34100000000000003</v>
      </c>
      <c r="C14">
        <v>341</v>
      </c>
      <c r="D14">
        <v>95</v>
      </c>
      <c r="E14" s="112">
        <v>1.1100000000000001</v>
      </c>
      <c r="F14" s="5" t="s">
        <v>317</v>
      </c>
      <c r="G14" t="s">
        <v>318</v>
      </c>
      <c r="H14" s="6">
        <v>45413</v>
      </c>
      <c r="I14" s="6">
        <v>51501</v>
      </c>
      <c r="J14" s="11"/>
      <c r="L14">
        <v>6</v>
      </c>
      <c r="M14" s="4">
        <f t="shared" si="1"/>
        <v>0.33</v>
      </c>
      <c r="N14">
        <v>330</v>
      </c>
      <c r="O14" s="4">
        <f t="shared" si="2"/>
        <v>1.98</v>
      </c>
      <c r="P14">
        <v>95</v>
      </c>
      <c r="Q14" s="112">
        <v>4.2973999999999997</v>
      </c>
      <c r="R14" s="5" t="s">
        <v>319</v>
      </c>
      <c r="S14" t="s">
        <v>320</v>
      </c>
      <c r="T14" s="6">
        <v>45413</v>
      </c>
      <c r="U14" s="6">
        <v>51501</v>
      </c>
      <c r="V14" s="9"/>
      <c r="AD14" s="112"/>
      <c r="AE14" s="117"/>
    </row>
    <row r="15" spans="1:31" x14ac:dyDescent="0.35">
      <c r="A15">
        <v>1</v>
      </c>
      <c r="B15" s="4">
        <f t="shared" si="0"/>
        <v>0.35499999999999998</v>
      </c>
      <c r="C15">
        <v>355</v>
      </c>
      <c r="D15">
        <v>95</v>
      </c>
      <c r="E15" s="112">
        <v>1.1557999999999999</v>
      </c>
      <c r="F15" s="5" t="s">
        <v>321</v>
      </c>
      <c r="G15" t="s">
        <v>322</v>
      </c>
      <c r="H15" s="6">
        <v>45413</v>
      </c>
      <c r="I15" s="6">
        <v>51501</v>
      </c>
      <c r="J15" s="11"/>
      <c r="L15">
        <v>6</v>
      </c>
      <c r="M15" s="4">
        <f t="shared" si="1"/>
        <v>0.34100000000000003</v>
      </c>
      <c r="N15">
        <v>341</v>
      </c>
      <c r="O15" s="4">
        <f t="shared" si="2"/>
        <v>2.0460000000000003</v>
      </c>
      <c r="P15">
        <v>95</v>
      </c>
      <c r="Q15" s="112">
        <v>4.9275000000000002</v>
      </c>
      <c r="R15" s="5" t="s">
        <v>323</v>
      </c>
      <c r="S15" t="s">
        <v>324</v>
      </c>
      <c r="T15" s="6">
        <v>45413</v>
      </c>
      <c r="U15" s="6">
        <v>51501</v>
      </c>
      <c r="V15" s="9"/>
      <c r="AD15" s="112"/>
      <c r="AE15" s="117"/>
    </row>
    <row r="16" spans="1:31" x14ac:dyDescent="0.35">
      <c r="A16">
        <v>1</v>
      </c>
      <c r="B16" s="4">
        <f t="shared" si="0"/>
        <v>0.36</v>
      </c>
      <c r="C16">
        <v>360</v>
      </c>
      <c r="D16">
        <v>95</v>
      </c>
      <c r="E16" s="112">
        <v>1.1719999999999999</v>
      </c>
      <c r="F16" s="5" t="s">
        <v>325</v>
      </c>
      <c r="G16" t="s">
        <v>326</v>
      </c>
      <c r="H16" s="6">
        <v>45413</v>
      </c>
      <c r="I16" s="6">
        <v>51501</v>
      </c>
      <c r="J16" s="11"/>
      <c r="L16">
        <v>6</v>
      </c>
      <c r="M16" s="4">
        <f t="shared" si="1"/>
        <v>0.35499999999999998</v>
      </c>
      <c r="N16">
        <v>355</v>
      </c>
      <c r="O16" s="4">
        <f t="shared" si="2"/>
        <v>2.13</v>
      </c>
      <c r="P16">
        <v>95</v>
      </c>
      <c r="Q16" s="112">
        <v>5.1295999999999999</v>
      </c>
      <c r="R16" s="5" t="s">
        <v>327</v>
      </c>
      <c r="S16" t="s">
        <v>328</v>
      </c>
      <c r="T16" s="6">
        <v>45413</v>
      </c>
      <c r="U16" s="6">
        <v>51501</v>
      </c>
      <c r="V16" s="9"/>
      <c r="AD16" s="112"/>
      <c r="AE16" s="117"/>
    </row>
    <row r="17" spans="1:31" x14ac:dyDescent="0.35">
      <c r="A17">
        <v>1</v>
      </c>
      <c r="B17" s="4">
        <f t="shared" si="0"/>
        <v>0.375</v>
      </c>
      <c r="C17">
        <v>375</v>
      </c>
      <c r="D17">
        <v>95</v>
      </c>
      <c r="E17" s="112">
        <v>1.2213000000000001</v>
      </c>
      <c r="F17" s="5" t="s">
        <v>329</v>
      </c>
      <c r="G17" t="s">
        <v>330</v>
      </c>
      <c r="H17" s="6">
        <v>45413</v>
      </c>
      <c r="I17" s="6">
        <v>51501</v>
      </c>
      <c r="J17" s="11"/>
      <c r="L17">
        <v>8</v>
      </c>
      <c r="M17" s="4">
        <f t="shared" si="1"/>
        <v>0.33</v>
      </c>
      <c r="N17">
        <v>330</v>
      </c>
      <c r="O17" s="4">
        <f t="shared" si="2"/>
        <v>2.64</v>
      </c>
      <c r="P17">
        <v>95</v>
      </c>
      <c r="Q17" s="112">
        <v>6.2577999999999996</v>
      </c>
      <c r="R17" s="5" t="s">
        <v>331</v>
      </c>
      <c r="S17" t="s">
        <v>332</v>
      </c>
      <c r="T17" s="6">
        <v>45413</v>
      </c>
      <c r="U17" s="6">
        <v>51501</v>
      </c>
      <c r="V17" s="9"/>
      <c r="AD17" s="112"/>
      <c r="AE17" s="117"/>
    </row>
    <row r="18" spans="1:31" x14ac:dyDescent="0.35">
      <c r="A18">
        <v>1</v>
      </c>
      <c r="B18" s="4">
        <f t="shared" si="0"/>
        <v>0.4</v>
      </c>
      <c r="C18">
        <v>400</v>
      </c>
      <c r="D18">
        <v>95</v>
      </c>
      <c r="E18" s="112">
        <v>1.3019000000000001</v>
      </c>
      <c r="F18" s="5" t="s">
        <v>333</v>
      </c>
      <c r="G18" t="s">
        <v>334</v>
      </c>
      <c r="H18" s="6">
        <v>45413</v>
      </c>
      <c r="I18" s="6">
        <v>51501</v>
      </c>
      <c r="J18" s="11"/>
      <c r="L18">
        <v>8</v>
      </c>
      <c r="M18" s="4">
        <f t="shared" si="1"/>
        <v>0.34100000000000003</v>
      </c>
      <c r="N18">
        <v>341</v>
      </c>
      <c r="O18" s="4">
        <f t="shared" si="2"/>
        <v>2.7280000000000002</v>
      </c>
      <c r="P18">
        <v>95</v>
      </c>
      <c r="Q18" s="112">
        <v>5.9204999999999997</v>
      </c>
      <c r="R18" s="5" t="s">
        <v>335</v>
      </c>
      <c r="S18" t="s">
        <v>336</v>
      </c>
      <c r="T18" s="6">
        <v>45413</v>
      </c>
      <c r="U18" s="6">
        <v>51501</v>
      </c>
      <c r="V18" s="9"/>
      <c r="AD18" s="112"/>
      <c r="AE18" s="117"/>
    </row>
    <row r="19" spans="1:31" x14ac:dyDescent="0.35">
      <c r="A19">
        <v>1</v>
      </c>
      <c r="B19" s="4">
        <f t="shared" si="0"/>
        <v>0.44</v>
      </c>
      <c r="C19">
        <v>440</v>
      </c>
      <c r="D19">
        <v>95</v>
      </c>
      <c r="E19" s="112">
        <v>1.4323999999999999</v>
      </c>
      <c r="F19" s="5" t="s">
        <v>337</v>
      </c>
      <c r="G19" t="s">
        <v>338</v>
      </c>
      <c r="H19" s="6">
        <v>45413</v>
      </c>
      <c r="I19" s="6">
        <v>51501</v>
      </c>
      <c r="J19" s="11"/>
      <c r="L19">
        <v>8</v>
      </c>
      <c r="M19" s="4">
        <f t="shared" si="1"/>
        <v>0.35499999999999998</v>
      </c>
      <c r="N19">
        <v>355</v>
      </c>
      <c r="O19" s="4">
        <f t="shared" si="2"/>
        <v>2.84</v>
      </c>
      <c r="P19">
        <v>95</v>
      </c>
      <c r="Q19" s="112">
        <v>6.7320000000000002</v>
      </c>
      <c r="R19" s="5" t="s">
        <v>339</v>
      </c>
      <c r="S19" t="s">
        <v>340</v>
      </c>
      <c r="T19" s="6">
        <v>45413</v>
      </c>
      <c r="U19" s="6">
        <v>51501</v>
      </c>
      <c r="V19" s="9"/>
      <c r="AD19" s="112"/>
      <c r="AE19" s="117"/>
    </row>
    <row r="20" spans="1:31" x14ac:dyDescent="0.35">
      <c r="A20">
        <v>1</v>
      </c>
      <c r="B20" s="4">
        <f t="shared" si="0"/>
        <v>0.45800000000000002</v>
      </c>
      <c r="C20">
        <v>458</v>
      </c>
      <c r="D20">
        <v>95</v>
      </c>
      <c r="E20" s="112">
        <v>1.4916</v>
      </c>
      <c r="F20" s="5" t="s">
        <v>341</v>
      </c>
      <c r="G20" t="s">
        <v>342</v>
      </c>
      <c r="H20" s="6">
        <v>45413</v>
      </c>
      <c r="I20" s="6">
        <v>51501</v>
      </c>
      <c r="J20" s="11"/>
      <c r="L20">
        <v>8</v>
      </c>
      <c r="M20" s="4">
        <f t="shared" si="1"/>
        <v>0.44</v>
      </c>
      <c r="N20">
        <v>440</v>
      </c>
      <c r="O20" s="4">
        <f t="shared" si="2"/>
        <v>3.52</v>
      </c>
      <c r="P20">
        <v>95</v>
      </c>
      <c r="Q20" s="112">
        <v>8.4783000000000008</v>
      </c>
      <c r="R20" s="5" t="s">
        <v>343</v>
      </c>
      <c r="S20" t="s">
        <v>344</v>
      </c>
      <c r="T20" s="6">
        <v>45413</v>
      </c>
      <c r="U20" s="6">
        <v>51501</v>
      </c>
      <c r="V20" s="9"/>
      <c r="AD20" s="112"/>
      <c r="AE20" s="117"/>
    </row>
    <row r="21" spans="1:31" x14ac:dyDescent="0.35">
      <c r="A21">
        <v>1</v>
      </c>
      <c r="B21" s="4">
        <f t="shared" si="0"/>
        <v>0.47299999999999998</v>
      </c>
      <c r="C21">
        <v>473</v>
      </c>
      <c r="D21">
        <v>95</v>
      </c>
      <c r="E21" s="112">
        <v>1.5405</v>
      </c>
      <c r="F21" s="5" t="s">
        <v>345</v>
      </c>
      <c r="G21" t="s">
        <v>346</v>
      </c>
      <c r="H21" s="6">
        <v>45413</v>
      </c>
      <c r="I21" s="6">
        <v>51501</v>
      </c>
      <c r="J21" s="11"/>
      <c r="L21">
        <v>8</v>
      </c>
      <c r="M21" s="4">
        <f t="shared" si="1"/>
        <v>0.5</v>
      </c>
      <c r="N21">
        <v>500</v>
      </c>
      <c r="O21" s="4">
        <f t="shared" si="2"/>
        <v>4</v>
      </c>
      <c r="P21">
        <v>95</v>
      </c>
      <c r="Q21" s="112">
        <v>9.6346000000000007</v>
      </c>
      <c r="R21" s="5" t="s">
        <v>347</v>
      </c>
      <c r="S21" t="s">
        <v>348</v>
      </c>
      <c r="T21" s="6">
        <v>45413</v>
      </c>
      <c r="U21" s="6">
        <v>51501</v>
      </c>
      <c r="V21" s="9"/>
      <c r="AD21" s="112"/>
      <c r="AE21" s="117"/>
    </row>
    <row r="22" spans="1:31" x14ac:dyDescent="0.35">
      <c r="A22">
        <v>1</v>
      </c>
      <c r="B22" s="4">
        <f t="shared" si="0"/>
        <v>0.5</v>
      </c>
      <c r="C22">
        <v>500</v>
      </c>
      <c r="D22">
        <v>95</v>
      </c>
      <c r="E22" s="112">
        <v>1.5698000000000001</v>
      </c>
      <c r="F22" s="5" t="s">
        <v>349</v>
      </c>
      <c r="G22" t="s">
        <v>350</v>
      </c>
      <c r="H22" s="6">
        <v>45413</v>
      </c>
      <c r="I22" s="6">
        <v>51501</v>
      </c>
      <c r="J22" s="11"/>
      <c r="L22">
        <v>12</v>
      </c>
      <c r="M22" s="4">
        <f t="shared" si="1"/>
        <v>0.23599999999999999</v>
      </c>
      <c r="N22">
        <v>236</v>
      </c>
      <c r="O22" s="4">
        <f t="shared" si="2"/>
        <v>2.8319999999999999</v>
      </c>
      <c r="P22">
        <v>95</v>
      </c>
      <c r="Q22" s="112">
        <v>6.7129000000000003</v>
      </c>
      <c r="R22" s="5" t="s">
        <v>351</v>
      </c>
      <c r="S22" t="s">
        <v>352</v>
      </c>
      <c r="T22" s="6">
        <v>45413</v>
      </c>
      <c r="U22" s="6">
        <v>51501</v>
      </c>
      <c r="V22" s="9"/>
      <c r="AD22" s="112"/>
      <c r="AE22" s="117"/>
    </row>
    <row r="23" spans="1:31" x14ac:dyDescent="0.35">
      <c r="A23">
        <v>1</v>
      </c>
      <c r="B23" s="4">
        <f t="shared" si="0"/>
        <v>0.65</v>
      </c>
      <c r="C23">
        <v>650</v>
      </c>
      <c r="D23">
        <v>95</v>
      </c>
      <c r="E23" s="112">
        <v>2.0407999999999999</v>
      </c>
      <c r="F23" s="5" t="s">
        <v>353</v>
      </c>
      <c r="G23" t="s">
        <v>354</v>
      </c>
      <c r="H23" s="6">
        <v>45413</v>
      </c>
      <c r="I23" s="6">
        <v>51501</v>
      </c>
      <c r="J23" s="11"/>
      <c r="L23">
        <v>12</v>
      </c>
      <c r="M23" s="4">
        <f t="shared" si="1"/>
        <v>0.33</v>
      </c>
      <c r="N23">
        <v>330</v>
      </c>
      <c r="O23" s="4">
        <f t="shared" si="2"/>
        <v>3.96</v>
      </c>
      <c r="P23">
        <v>95</v>
      </c>
      <c r="Q23" s="112">
        <v>9.5376999999999992</v>
      </c>
      <c r="R23" s="5" t="s">
        <v>355</v>
      </c>
      <c r="S23" t="s">
        <v>356</v>
      </c>
      <c r="T23" s="6">
        <v>45413</v>
      </c>
      <c r="U23" s="6">
        <v>51501</v>
      </c>
      <c r="V23" s="9"/>
      <c r="AD23" s="112"/>
      <c r="AE23" s="117"/>
    </row>
    <row r="24" spans="1:31" x14ac:dyDescent="0.35">
      <c r="A24">
        <v>1</v>
      </c>
      <c r="B24" s="4">
        <f t="shared" si="0"/>
        <v>0.69499999999999995</v>
      </c>
      <c r="C24">
        <v>695</v>
      </c>
      <c r="D24">
        <v>95</v>
      </c>
      <c r="E24" s="112">
        <v>2.1476999999999999</v>
      </c>
      <c r="F24" s="5" t="s">
        <v>357</v>
      </c>
      <c r="G24" t="s">
        <v>358</v>
      </c>
      <c r="H24" s="6">
        <v>45413</v>
      </c>
      <c r="I24" s="6">
        <v>51501</v>
      </c>
      <c r="J24" s="11"/>
      <c r="L24">
        <v>12</v>
      </c>
      <c r="M24" s="4">
        <f t="shared" si="1"/>
        <v>0.34100000000000003</v>
      </c>
      <c r="N24">
        <v>341</v>
      </c>
      <c r="O24" s="4">
        <f t="shared" si="2"/>
        <v>4.0920000000000005</v>
      </c>
      <c r="P24">
        <v>95</v>
      </c>
      <c r="Q24" s="112">
        <v>13.3203</v>
      </c>
      <c r="R24" s="5" t="s">
        <v>359</v>
      </c>
      <c r="S24" t="s">
        <v>360</v>
      </c>
      <c r="T24" s="6">
        <v>45413</v>
      </c>
      <c r="U24" s="6">
        <v>51501</v>
      </c>
      <c r="V24" s="9"/>
      <c r="AD24" s="112"/>
      <c r="AE24" s="117"/>
    </row>
    <row r="25" spans="1:31" x14ac:dyDescent="0.35">
      <c r="A25">
        <v>1</v>
      </c>
      <c r="B25" s="4">
        <f t="shared" si="0"/>
        <v>0.7</v>
      </c>
      <c r="C25">
        <v>700</v>
      </c>
      <c r="D25">
        <v>95</v>
      </c>
      <c r="E25" s="112">
        <v>2.1979000000000002</v>
      </c>
      <c r="F25" s="5" t="s">
        <v>361</v>
      </c>
      <c r="G25" t="s">
        <v>362</v>
      </c>
      <c r="H25" s="6">
        <v>45413</v>
      </c>
      <c r="I25" s="6">
        <v>51501</v>
      </c>
      <c r="J25" s="11"/>
      <c r="L25">
        <v>12</v>
      </c>
      <c r="M25" s="4">
        <f t="shared" si="1"/>
        <v>0.35499999999999998</v>
      </c>
      <c r="N25">
        <v>355</v>
      </c>
      <c r="O25" s="4">
        <f t="shared" si="2"/>
        <v>4.26</v>
      </c>
      <c r="P25">
        <v>95</v>
      </c>
      <c r="Q25" s="112">
        <v>10.259399999999999</v>
      </c>
      <c r="R25" s="5" t="s">
        <v>363</v>
      </c>
      <c r="S25" t="s">
        <v>364</v>
      </c>
      <c r="T25" s="6">
        <v>45413</v>
      </c>
      <c r="U25" s="6">
        <v>51501</v>
      </c>
      <c r="V25" s="9"/>
      <c r="AD25" s="112"/>
      <c r="AE25" s="117"/>
    </row>
    <row r="26" spans="1:31" x14ac:dyDescent="0.35">
      <c r="A26">
        <v>1</v>
      </c>
      <c r="B26" s="4">
        <f t="shared" si="0"/>
        <v>0.71</v>
      </c>
      <c r="C26">
        <v>710</v>
      </c>
      <c r="D26">
        <v>95</v>
      </c>
      <c r="E26" s="112">
        <v>2.218</v>
      </c>
      <c r="F26" s="5" t="s">
        <v>365</v>
      </c>
      <c r="G26" t="s">
        <v>366</v>
      </c>
      <c r="H26" s="6">
        <v>45413</v>
      </c>
      <c r="I26" s="6">
        <v>51501</v>
      </c>
      <c r="J26" s="11"/>
      <c r="L26">
        <v>24</v>
      </c>
      <c r="M26" s="4">
        <f t="shared" si="1"/>
        <v>0.33</v>
      </c>
      <c r="N26">
        <v>330</v>
      </c>
      <c r="O26" s="4">
        <f t="shared" si="2"/>
        <v>7.92</v>
      </c>
      <c r="P26">
        <v>95</v>
      </c>
      <c r="Q26" s="112">
        <v>19.0731</v>
      </c>
      <c r="R26" s="5" t="s">
        <v>367</v>
      </c>
      <c r="S26" t="s">
        <v>368</v>
      </c>
      <c r="T26" s="6">
        <v>45413</v>
      </c>
      <c r="U26" s="6">
        <v>51501</v>
      </c>
      <c r="V26" s="9"/>
      <c r="AD26" s="112"/>
      <c r="AE26" s="117"/>
    </row>
    <row r="27" spans="1:31" x14ac:dyDescent="0.35">
      <c r="A27">
        <v>1</v>
      </c>
      <c r="B27" s="4">
        <f t="shared" si="0"/>
        <v>0.72</v>
      </c>
      <c r="C27">
        <v>720</v>
      </c>
      <c r="D27">
        <v>95</v>
      </c>
      <c r="E27" s="112">
        <v>2.2597</v>
      </c>
      <c r="F27" s="5" t="s">
        <v>369</v>
      </c>
      <c r="G27" t="s">
        <v>370</v>
      </c>
      <c r="H27" s="6">
        <v>45413</v>
      </c>
      <c r="I27" s="6">
        <v>51501</v>
      </c>
      <c r="J27" s="11"/>
      <c r="L27">
        <v>24</v>
      </c>
      <c r="M27" s="4">
        <f t="shared" si="1"/>
        <v>0.35499999999999998</v>
      </c>
      <c r="N27">
        <v>355</v>
      </c>
      <c r="O27" s="4">
        <f t="shared" si="2"/>
        <v>8.52</v>
      </c>
      <c r="P27">
        <v>95</v>
      </c>
      <c r="Q27" s="112">
        <v>20.5184</v>
      </c>
      <c r="R27" s="5" t="s">
        <v>371</v>
      </c>
      <c r="S27" t="s">
        <v>372</v>
      </c>
      <c r="T27" s="6">
        <v>45413</v>
      </c>
      <c r="U27" s="6">
        <v>51501</v>
      </c>
      <c r="V27" s="9"/>
      <c r="AD27" s="112"/>
      <c r="AE27" s="117"/>
    </row>
    <row r="28" spans="1:31" x14ac:dyDescent="0.35">
      <c r="A28">
        <v>1</v>
      </c>
      <c r="B28" s="4">
        <f t="shared" si="0"/>
        <v>0.75</v>
      </c>
      <c r="C28">
        <v>750</v>
      </c>
      <c r="D28">
        <v>95</v>
      </c>
      <c r="E28" s="112">
        <v>2.3548</v>
      </c>
      <c r="F28" s="5" t="s">
        <v>373</v>
      </c>
      <c r="G28" t="s">
        <v>374</v>
      </c>
      <c r="H28" s="6">
        <v>45413</v>
      </c>
      <c r="I28" s="6">
        <v>51501</v>
      </c>
      <c r="J28" s="11"/>
      <c r="L28">
        <v>24</v>
      </c>
      <c r="M28" s="4">
        <f t="shared" si="1"/>
        <v>0.4</v>
      </c>
      <c r="N28">
        <v>400</v>
      </c>
      <c r="O28" s="4">
        <f t="shared" si="2"/>
        <v>9.6000000000000014</v>
      </c>
      <c r="P28">
        <v>95</v>
      </c>
      <c r="Q28" s="112">
        <v>23.119399999999999</v>
      </c>
      <c r="R28" s="5" t="s">
        <v>375</v>
      </c>
      <c r="S28" t="s">
        <v>376</v>
      </c>
      <c r="T28" s="6">
        <v>45413</v>
      </c>
      <c r="U28" s="6">
        <v>51501</v>
      </c>
      <c r="V28" s="9"/>
      <c r="AD28" s="112"/>
      <c r="AE28" s="117"/>
    </row>
    <row r="29" spans="1:31" x14ac:dyDescent="0.35">
      <c r="A29">
        <v>1</v>
      </c>
      <c r="B29" s="4">
        <f t="shared" si="0"/>
        <v>0.91</v>
      </c>
      <c r="C29">
        <v>910</v>
      </c>
      <c r="D29">
        <v>95</v>
      </c>
      <c r="E29" s="112">
        <v>2.8576000000000001</v>
      </c>
      <c r="F29" s="5" t="s">
        <v>377</v>
      </c>
      <c r="G29" t="s">
        <v>378</v>
      </c>
      <c r="H29" s="6">
        <v>45413</v>
      </c>
      <c r="I29" s="6">
        <v>51501</v>
      </c>
      <c r="J29" s="11"/>
      <c r="L29">
        <v>12</v>
      </c>
      <c r="M29" s="4">
        <v>0.4</v>
      </c>
      <c r="N29">
        <v>400</v>
      </c>
      <c r="O29">
        <v>4.8000000000000007</v>
      </c>
      <c r="P29">
        <v>95</v>
      </c>
      <c r="Q29" s="112">
        <v>11.561500000000001</v>
      </c>
      <c r="R29" t="s">
        <v>869</v>
      </c>
      <c r="S29" t="s">
        <v>870</v>
      </c>
      <c r="T29" s="6">
        <v>45413</v>
      </c>
      <c r="U29" s="6">
        <v>51501</v>
      </c>
      <c r="V29" s="9"/>
      <c r="AD29" s="112"/>
      <c r="AE29" s="117"/>
    </row>
    <row r="30" spans="1:31" x14ac:dyDescent="0.35">
      <c r="A30">
        <v>1</v>
      </c>
      <c r="B30" s="4">
        <f t="shared" si="0"/>
        <v>0.94599999999999995</v>
      </c>
      <c r="C30">
        <v>946</v>
      </c>
      <c r="D30">
        <v>95</v>
      </c>
      <c r="E30" s="112">
        <v>2.9097</v>
      </c>
      <c r="F30" s="5" t="s">
        <v>379</v>
      </c>
      <c r="G30" t="s">
        <v>380</v>
      </c>
      <c r="H30" s="6">
        <v>45413</v>
      </c>
      <c r="I30" s="6">
        <v>51501</v>
      </c>
      <c r="J30" s="11"/>
      <c r="L30">
        <v>4</v>
      </c>
      <c r="M30" s="4">
        <v>0.44</v>
      </c>
      <c r="N30">
        <v>440</v>
      </c>
      <c r="O30">
        <v>1.76</v>
      </c>
      <c r="P30">
        <v>95</v>
      </c>
      <c r="Q30" s="112">
        <v>5.7293000000000003</v>
      </c>
      <c r="R30" t="s">
        <v>871</v>
      </c>
      <c r="S30" t="s">
        <v>872</v>
      </c>
      <c r="T30" s="6">
        <v>45413</v>
      </c>
      <c r="U30" s="6">
        <v>51501</v>
      </c>
      <c r="V30" s="9"/>
      <c r="AD30" s="112"/>
      <c r="AE30" s="117"/>
    </row>
    <row r="31" spans="1:31" x14ac:dyDescent="0.35">
      <c r="A31">
        <v>1</v>
      </c>
      <c r="B31" s="4">
        <f t="shared" si="0"/>
        <v>1</v>
      </c>
      <c r="C31">
        <v>1000</v>
      </c>
      <c r="D31">
        <v>95</v>
      </c>
      <c r="E31" s="112">
        <v>3.1398000000000001</v>
      </c>
      <c r="F31" s="5" t="s">
        <v>381</v>
      </c>
      <c r="G31" t="s">
        <v>382</v>
      </c>
      <c r="H31" s="6">
        <v>45413</v>
      </c>
      <c r="I31" s="6">
        <v>51501</v>
      </c>
      <c r="J31" s="11"/>
      <c r="L31">
        <v>4</v>
      </c>
      <c r="M31" s="4">
        <v>0.15</v>
      </c>
      <c r="N31">
        <v>150</v>
      </c>
      <c r="O31">
        <v>0.6</v>
      </c>
      <c r="P31">
        <v>95</v>
      </c>
      <c r="Q31" s="112">
        <v>1.8835999999999999</v>
      </c>
      <c r="R31" t="s">
        <v>873</v>
      </c>
      <c r="S31" t="s">
        <v>874</v>
      </c>
      <c r="T31" s="6">
        <v>45413</v>
      </c>
      <c r="U31" s="6">
        <v>51501</v>
      </c>
      <c r="V31" s="9"/>
      <c r="AD31" s="112"/>
      <c r="AE31" s="117"/>
    </row>
    <row r="32" spans="1:31" x14ac:dyDescent="0.35">
      <c r="A32">
        <v>1</v>
      </c>
      <c r="B32" s="4">
        <f t="shared" si="0"/>
        <v>1.1399999999999999</v>
      </c>
      <c r="C32">
        <v>1140</v>
      </c>
      <c r="D32">
        <v>95</v>
      </c>
      <c r="E32" s="112">
        <v>3.5792999999999999</v>
      </c>
      <c r="F32" s="5" t="s">
        <v>383</v>
      </c>
      <c r="G32" t="s">
        <v>384</v>
      </c>
      <c r="H32" s="6">
        <v>45413</v>
      </c>
      <c r="I32" s="6">
        <v>51501</v>
      </c>
      <c r="J32" s="11"/>
      <c r="L32">
        <v>4</v>
      </c>
      <c r="M32" s="4">
        <v>0.27</v>
      </c>
      <c r="N32">
        <v>270</v>
      </c>
      <c r="O32">
        <v>1.08</v>
      </c>
      <c r="P32">
        <v>95</v>
      </c>
      <c r="Q32" s="112">
        <v>3.5154999999999998</v>
      </c>
      <c r="R32" t="s">
        <v>875</v>
      </c>
      <c r="S32" t="s">
        <v>876</v>
      </c>
      <c r="T32" s="6">
        <v>45413</v>
      </c>
      <c r="U32" s="6">
        <v>51501</v>
      </c>
      <c r="V32" s="9"/>
      <c r="AD32" s="112"/>
      <c r="AE32" s="117"/>
    </row>
    <row r="33" spans="1:31" x14ac:dyDescent="0.35">
      <c r="A33">
        <v>1</v>
      </c>
      <c r="B33" s="4">
        <f t="shared" si="0"/>
        <v>1.5</v>
      </c>
      <c r="C33">
        <v>1500</v>
      </c>
      <c r="D33">
        <v>95</v>
      </c>
      <c r="E33" s="112">
        <v>4.2343000000000002</v>
      </c>
      <c r="F33" s="5" t="s">
        <v>385</v>
      </c>
      <c r="G33" t="s">
        <v>386</v>
      </c>
      <c r="H33" s="6">
        <v>45413</v>
      </c>
      <c r="I33" s="6">
        <v>51501</v>
      </c>
      <c r="J33" s="11"/>
      <c r="L33">
        <v>8</v>
      </c>
      <c r="M33" s="4">
        <v>0.47299999999999998</v>
      </c>
      <c r="N33">
        <v>473</v>
      </c>
      <c r="O33">
        <v>3.7839999999999998</v>
      </c>
      <c r="P33">
        <v>95</v>
      </c>
      <c r="Q33" s="112">
        <v>8.2106999999999992</v>
      </c>
      <c r="R33" t="s">
        <v>877</v>
      </c>
      <c r="S33" t="s">
        <v>878</v>
      </c>
      <c r="T33" s="6">
        <v>45413</v>
      </c>
      <c r="U33" s="6">
        <v>51501</v>
      </c>
      <c r="V33" s="9"/>
      <c r="AD33" s="112"/>
      <c r="AE33" s="117"/>
    </row>
    <row r="34" spans="1:31" x14ac:dyDescent="0.35">
      <c r="A34">
        <v>1</v>
      </c>
      <c r="B34" s="4">
        <f t="shared" si="0"/>
        <v>1.75</v>
      </c>
      <c r="C34">
        <v>1750</v>
      </c>
      <c r="D34">
        <v>95</v>
      </c>
      <c r="E34" s="112">
        <v>4.2199</v>
      </c>
      <c r="F34" s="5" t="s">
        <v>387</v>
      </c>
      <c r="G34" t="s">
        <v>388</v>
      </c>
      <c r="H34" s="6">
        <v>45413</v>
      </c>
      <c r="I34" s="6">
        <v>51501</v>
      </c>
      <c r="J34" s="11"/>
      <c r="L34">
        <v>6</v>
      </c>
      <c r="M34" s="4">
        <v>0.47299999999999998</v>
      </c>
      <c r="N34">
        <v>473</v>
      </c>
      <c r="O34">
        <v>2.8380000000000001</v>
      </c>
      <c r="P34">
        <v>95</v>
      </c>
      <c r="Q34" s="112">
        <v>6.1580000000000004</v>
      </c>
      <c r="R34" t="s">
        <v>879</v>
      </c>
      <c r="S34" t="s">
        <v>880</v>
      </c>
      <c r="T34" s="6">
        <v>45413</v>
      </c>
      <c r="U34" s="6">
        <v>51501</v>
      </c>
      <c r="V34" s="9"/>
      <c r="AD34" s="112"/>
      <c r="AE34" s="117"/>
    </row>
    <row r="35" spans="1:31" x14ac:dyDescent="0.35">
      <c r="A35">
        <v>1</v>
      </c>
      <c r="B35" s="4">
        <f t="shared" si="0"/>
        <v>1.89</v>
      </c>
      <c r="C35">
        <v>1890</v>
      </c>
      <c r="D35">
        <v>95</v>
      </c>
      <c r="E35" s="112">
        <v>4.3297999999999996</v>
      </c>
      <c r="F35" s="5" t="s">
        <v>389</v>
      </c>
      <c r="G35" t="s">
        <v>390</v>
      </c>
      <c r="H35" s="6">
        <v>45413</v>
      </c>
      <c r="I35" s="6">
        <v>51501</v>
      </c>
      <c r="J35" s="11"/>
      <c r="L35">
        <v>12</v>
      </c>
      <c r="M35" s="4">
        <v>0.47299999999999998</v>
      </c>
      <c r="N35">
        <v>473</v>
      </c>
      <c r="O35">
        <v>5.6760000000000002</v>
      </c>
      <c r="P35">
        <v>95</v>
      </c>
      <c r="Q35" s="112">
        <v>12.3161</v>
      </c>
      <c r="R35" t="s">
        <v>881</v>
      </c>
      <c r="S35" t="s">
        <v>882</v>
      </c>
      <c r="T35" s="6">
        <v>45413</v>
      </c>
      <c r="U35" s="6">
        <v>51501</v>
      </c>
      <c r="V35" s="9"/>
      <c r="AD35" s="112"/>
      <c r="AE35" s="117"/>
    </row>
    <row r="36" spans="1:31" x14ac:dyDescent="0.35">
      <c r="A36">
        <v>1</v>
      </c>
      <c r="B36" s="4">
        <f t="shared" si="0"/>
        <v>2</v>
      </c>
      <c r="C36">
        <v>2000</v>
      </c>
      <c r="D36">
        <v>95</v>
      </c>
      <c r="E36" s="112">
        <v>4.3407999999999998</v>
      </c>
      <c r="F36" s="5" t="s">
        <v>391</v>
      </c>
      <c r="G36" t="s">
        <v>392</v>
      </c>
      <c r="H36" s="6">
        <v>45413</v>
      </c>
      <c r="I36" s="6">
        <v>51501</v>
      </c>
      <c r="J36" s="11"/>
      <c r="L36">
        <v>24</v>
      </c>
      <c r="M36" s="4">
        <v>0.47299999999999998</v>
      </c>
      <c r="N36">
        <v>473</v>
      </c>
      <c r="O36">
        <v>11.352</v>
      </c>
      <c r="P36">
        <v>95</v>
      </c>
      <c r="Q36" s="112">
        <v>24.632200000000001</v>
      </c>
      <c r="R36" t="s">
        <v>883</v>
      </c>
      <c r="S36" t="s">
        <v>884</v>
      </c>
      <c r="T36" s="6">
        <v>45413</v>
      </c>
      <c r="U36" s="6">
        <v>51501</v>
      </c>
      <c r="V36" s="9"/>
      <c r="AD36" s="112"/>
      <c r="AE36" s="117"/>
    </row>
    <row r="37" spans="1:31" x14ac:dyDescent="0.35">
      <c r="A37">
        <v>1</v>
      </c>
      <c r="B37" s="4">
        <f t="shared" si="0"/>
        <v>3</v>
      </c>
      <c r="C37">
        <v>3000</v>
      </c>
      <c r="D37">
        <v>95</v>
      </c>
      <c r="E37" s="112">
        <v>6.5114000000000001</v>
      </c>
      <c r="F37" s="5" t="s">
        <v>393</v>
      </c>
      <c r="G37" t="s">
        <v>394</v>
      </c>
      <c r="H37" s="6">
        <v>45413</v>
      </c>
      <c r="I37" s="6">
        <v>51501</v>
      </c>
      <c r="J37" s="11"/>
      <c r="L37">
        <v>15</v>
      </c>
      <c r="M37" s="4">
        <v>0.35499999999999998</v>
      </c>
      <c r="N37">
        <v>355</v>
      </c>
      <c r="O37">
        <v>5.3249999999999993</v>
      </c>
      <c r="P37">
        <v>95</v>
      </c>
      <c r="Q37" s="112">
        <v>12.824199999999999</v>
      </c>
      <c r="R37" t="s">
        <v>885</v>
      </c>
      <c r="S37" t="s">
        <v>886</v>
      </c>
      <c r="T37" s="6">
        <v>45413</v>
      </c>
      <c r="U37" s="6">
        <v>51501</v>
      </c>
      <c r="V37" s="9"/>
      <c r="AD37" s="112"/>
      <c r="AE37" s="117"/>
    </row>
    <row r="38" spans="1:31" x14ac:dyDescent="0.35">
      <c r="A38">
        <v>1</v>
      </c>
      <c r="B38" s="4">
        <f t="shared" si="0"/>
        <v>4</v>
      </c>
      <c r="C38">
        <v>4000</v>
      </c>
      <c r="D38">
        <v>95</v>
      </c>
      <c r="E38" s="112">
        <v>8.6818000000000008</v>
      </c>
      <c r="F38" s="5" t="s">
        <v>395</v>
      </c>
      <c r="G38" t="s">
        <v>396</v>
      </c>
      <c r="H38" s="6">
        <v>45413</v>
      </c>
      <c r="I38" s="6">
        <v>51501</v>
      </c>
      <c r="J38" s="11"/>
      <c r="L38">
        <v>24</v>
      </c>
      <c r="M38" s="4">
        <v>0.35499999999999998</v>
      </c>
      <c r="N38">
        <v>341</v>
      </c>
      <c r="O38">
        <v>8.52</v>
      </c>
      <c r="P38">
        <v>95</v>
      </c>
      <c r="Q38">
        <v>19.7088</v>
      </c>
      <c r="R38" t="s">
        <v>979</v>
      </c>
      <c r="S38" t="s">
        <v>980</v>
      </c>
      <c r="T38" s="6">
        <v>45413</v>
      </c>
      <c r="U38" s="6">
        <v>51501</v>
      </c>
      <c r="V38" s="9"/>
      <c r="AD38" s="112"/>
      <c r="AE38" s="117"/>
    </row>
    <row r="39" spans="1:31" x14ac:dyDescent="0.35">
      <c r="A39">
        <v>1</v>
      </c>
      <c r="B39" s="4">
        <f t="shared" si="0"/>
        <v>19.5</v>
      </c>
      <c r="C39">
        <v>19500</v>
      </c>
      <c r="D39">
        <v>95</v>
      </c>
      <c r="E39" s="112">
        <v>42.323599999999999</v>
      </c>
      <c r="F39" s="5" t="s">
        <v>397</v>
      </c>
      <c r="G39" t="s">
        <v>398</v>
      </c>
      <c r="H39" s="6">
        <v>45413</v>
      </c>
      <c r="I39" s="6">
        <v>51501</v>
      </c>
      <c r="J39" s="11"/>
      <c r="V39" s="9"/>
      <c r="AD39" s="112"/>
      <c r="AE39" s="117"/>
    </row>
    <row r="40" spans="1:31" x14ac:dyDescent="0.35">
      <c r="A40">
        <v>1</v>
      </c>
      <c r="B40" s="4">
        <f t="shared" si="0"/>
        <v>20</v>
      </c>
      <c r="C40">
        <v>20000</v>
      </c>
      <c r="D40">
        <v>95</v>
      </c>
      <c r="E40" s="112">
        <v>43.409199999999998</v>
      </c>
      <c r="F40" s="5" t="s">
        <v>399</v>
      </c>
      <c r="G40" t="s">
        <v>400</v>
      </c>
      <c r="H40" s="6">
        <v>45413</v>
      </c>
      <c r="I40" s="6">
        <v>51501</v>
      </c>
      <c r="J40" s="11"/>
      <c r="V40" s="9"/>
      <c r="AD40" s="112"/>
      <c r="AE40" s="117"/>
    </row>
    <row r="41" spans="1:31" x14ac:dyDescent="0.35">
      <c r="A41">
        <v>1</v>
      </c>
      <c r="B41" s="4">
        <f t="shared" si="0"/>
        <v>25</v>
      </c>
      <c r="C41">
        <v>25000</v>
      </c>
      <c r="D41">
        <v>95</v>
      </c>
      <c r="E41" s="112">
        <v>54.259700000000002</v>
      </c>
      <c r="F41" s="5" t="s">
        <v>401</v>
      </c>
      <c r="G41" t="s">
        <v>402</v>
      </c>
      <c r="H41" s="6">
        <v>45413</v>
      </c>
      <c r="I41" s="6">
        <v>51501</v>
      </c>
      <c r="J41" s="11"/>
      <c r="V41" s="9"/>
      <c r="AD41" s="112"/>
      <c r="AE41" s="117"/>
    </row>
    <row r="42" spans="1:31" x14ac:dyDescent="0.35">
      <c r="A42">
        <v>1</v>
      </c>
      <c r="B42" s="4">
        <f t="shared" si="0"/>
        <v>30</v>
      </c>
      <c r="C42">
        <v>30000</v>
      </c>
      <c r="D42">
        <v>95</v>
      </c>
      <c r="E42" s="112">
        <v>65.113799999999998</v>
      </c>
      <c r="F42" s="5" t="s">
        <v>403</v>
      </c>
      <c r="G42" t="s">
        <v>404</v>
      </c>
      <c r="H42" s="6">
        <v>45413</v>
      </c>
      <c r="I42" s="6">
        <v>51501</v>
      </c>
      <c r="J42" s="11"/>
      <c r="V42" s="9"/>
      <c r="AD42" s="112"/>
      <c r="AE42" s="117"/>
    </row>
    <row r="43" spans="1:31" x14ac:dyDescent="0.35">
      <c r="A43">
        <v>1</v>
      </c>
      <c r="B43" s="4">
        <f t="shared" si="0"/>
        <v>50</v>
      </c>
      <c r="C43">
        <v>50000</v>
      </c>
      <c r="D43">
        <v>95</v>
      </c>
      <c r="E43" s="112">
        <v>108.53440000000001</v>
      </c>
      <c r="F43" s="5" t="s">
        <v>405</v>
      </c>
      <c r="G43" t="s">
        <v>406</v>
      </c>
      <c r="H43" s="6">
        <v>45413</v>
      </c>
      <c r="I43" s="6">
        <v>51501</v>
      </c>
      <c r="J43" s="11"/>
      <c r="V43" s="9"/>
      <c r="AD43" s="112"/>
      <c r="AE43" s="117"/>
    </row>
    <row r="44" spans="1:31" x14ac:dyDescent="0.35">
      <c r="A44">
        <v>1</v>
      </c>
      <c r="B44" s="4">
        <f t="shared" si="0"/>
        <v>58.5</v>
      </c>
      <c r="C44">
        <v>58500</v>
      </c>
      <c r="D44">
        <v>95</v>
      </c>
      <c r="E44" s="112">
        <v>122.80459999999999</v>
      </c>
      <c r="F44" s="5" t="s">
        <v>407</v>
      </c>
      <c r="G44" t="s">
        <v>408</v>
      </c>
      <c r="H44" s="6">
        <v>45413</v>
      </c>
      <c r="I44" s="6">
        <v>51501</v>
      </c>
      <c r="J44" s="11"/>
      <c r="V44" s="9"/>
      <c r="AD44" s="112"/>
      <c r="AE44" s="117"/>
    </row>
    <row r="45" spans="1:31" x14ac:dyDescent="0.35">
      <c r="A45">
        <v>1</v>
      </c>
      <c r="B45" s="4">
        <f t="shared" si="0"/>
        <v>58.6</v>
      </c>
      <c r="C45">
        <v>58600</v>
      </c>
      <c r="D45">
        <v>95</v>
      </c>
      <c r="E45" s="112">
        <v>123.0141</v>
      </c>
      <c r="F45" s="5" t="s">
        <v>409</v>
      </c>
      <c r="G45" t="s">
        <v>410</v>
      </c>
      <c r="H45" s="6">
        <v>45413</v>
      </c>
      <c r="I45" s="6">
        <v>51501</v>
      </c>
      <c r="J45" s="11"/>
      <c r="V45" s="9"/>
      <c r="AD45" s="112"/>
      <c r="AE45" s="117"/>
    </row>
    <row r="46" spans="1:31" x14ac:dyDescent="0.35">
      <c r="A46">
        <v>1</v>
      </c>
      <c r="B46" s="4">
        <v>0.37</v>
      </c>
      <c r="C46">
        <v>370</v>
      </c>
      <c r="D46">
        <v>95</v>
      </c>
      <c r="E46" s="112">
        <v>1.2051000000000001</v>
      </c>
      <c r="F46" t="s">
        <v>887</v>
      </c>
      <c r="G46" t="s">
        <v>888</v>
      </c>
      <c r="H46" s="6">
        <v>45413</v>
      </c>
      <c r="I46" s="6">
        <v>51501</v>
      </c>
      <c r="J46" s="11"/>
      <c r="V46" s="9"/>
      <c r="AD46" s="112"/>
      <c r="AE46" s="117"/>
    </row>
    <row r="47" spans="1:31" x14ac:dyDescent="0.35">
      <c r="A47">
        <v>1</v>
      </c>
      <c r="B47" s="4">
        <v>29.33</v>
      </c>
      <c r="C47">
        <v>29330</v>
      </c>
      <c r="D47">
        <v>95</v>
      </c>
      <c r="E47" s="112">
        <v>63.659500000000001</v>
      </c>
      <c r="F47" t="s">
        <v>889</v>
      </c>
      <c r="G47" t="s">
        <v>890</v>
      </c>
      <c r="H47" s="6">
        <v>45413</v>
      </c>
      <c r="I47" s="6">
        <v>51501</v>
      </c>
      <c r="J47" s="11"/>
      <c r="AD47" s="112"/>
      <c r="AE47" s="117"/>
    </row>
    <row r="48" spans="1:31" x14ac:dyDescent="0.35">
      <c r="A48">
        <v>1</v>
      </c>
      <c r="B48" s="4">
        <v>10</v>
      </c>
      <c r="C48">
        <v>10000</v>
      </c>
      <c r="D48">
        <v>95</v>
      </c>
      <c r="E48" s="112">
        <v>21.7044</v>
      </c>
      <c r="F48" t="s">
        <v>891</v>
      </c>
      <c r="G48" t="s">
        <v>892</v>
      </c>
      <c r="H48" s="6">
        <v>45413</v>
      </c>
      <c r="I48" s="6">
        <v>51501</v>
      </c>
      <c r="J48" s="11"/>
      <c r="AD48" s="112"/>
      <c r="AE48" s="117"/>
    </row>
    <row r="49" spans="1:31" x14ac:dyDescent="0.35">
      <c r="A49">
        <v>1</v>
      </c>
      <c r="B49" s="4">
        <v>19</v>
      </c>
      <c r="C49">
        <v>19000</v>
      </c>
      <c r="D49">
        <v>95</v>
      </c>
      <c r="E49" s="112">
        <v>41.238100000000003</v>
      </c>
      <c r="F49" t="s">
        <v>893</v>
      </c>
      <c r="G49" t="s">
        <v>894</v>
      </c>
      <c r="H49" s="6">
        <v>45413</v>
      </c>
      <c r="I49" s="6">
        <v>51501</v>
      </c>
      <c r="J49" s="11"/>
      <c r="AD49" s="112"/>
      <c r="AE49" s="117"/>
    </row>
  </sheetData>
  <conditionalFormatting sqref="O2:O28">
    <cfRule type="duplicateValues" dxfId="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R71"/>
  <sheetViews>
    <sheetView workbookViewId="0">
      <selection sqref="A1:XFD1048576"/>
    </sheetView>
  </sheetViews>
  <sheetFormatPr defaultRowHeight="14.5" x14ac:dyDescent="0.35"/>
  <cols>
    <col min="5" max="5" width="17.1796875" bestFit="1" customWidth="1"/>
    <col min="7" max="7" width="26.81640625" bestFit="1" customWidth="1"/>
    <col min="8" max="8" width="12.453125" bestFit="1" customWidth="1"/>
    <col min="9" max="9" width="10.81640625" bestFit="1" customWidth="1"/>
    <col min="10" max="10" width="6.453125" bestFit="1" customWidth="1"/>
    <col min="11" max="11" width="2.1796875" style="10" customWidth="1"/>
    <col min="17" max="17" width="17.1796875" bestFit="1" customWidth="1"/>
    <col min="19" max="19" width="26.81640625" bestFit="1" customWidth="1"/>
    <col min="20" max="20" width="12.453125" bestFit="1" customWidth="1"/>
    <col min="21" max="21" width="10.81640625" bestFit="1" customWidth="1"/>
    <col min="22" max="22" width="6.453125" bestFit="1" customWidth="1"/>
    <col min="23" max="23" width="2.1796875" style="10" customWidth="1"/>
    <col min="25" max="25" width="10.81640625" bestFit="1" customWidth="1"/>
    <col min="31" max="31" width="18.1796875" customWidth="1"/>
    <col min="32" max="32" width="15.81640625" customWidth="1"/>
    <col min="33" max="33" width="13.54296875" bestFit="1" customWidth="1"/>
    <col min="34" max="34" width="11" bestFit="1" customWidth="1"/>
    <col min="35" max="35" width="1.81640625" customWidth="1"/>
    <col min="38" max="38" width="9.1796875" style="4"/>
    <col min="40" max="40" width="9.1796875" style="4"/>
    <col min="44" max="44" width="26.81640625" bestFit="1" customWidth="1"/>
    <col min="45" max="45" width="13.54296875" bestFit="1" customWidth="1"/>
    <col min="46" max="46" width="11" bestFit="1" customWidth="1"/>
    <col min="47" max="47" width="6.453125" bestFit="1" customWidth="1"/>
    <col min="48" max="48" width="1.81640625" customWidth="1"/>
    <col min="57" max="57" width="29" bestFit="1" customWidth="1"/>
    <col min="58" max="58" width="13.54296875" bestFit="1" customWidth="1"/>
    <col min="59" max="59" width="11" bestFit="1" customWidth="1"/>
    <col min="61" max="61" width="2" customWidth="1"/>
  </cols>
  <sheetData>
    <row r="1" spans="1:70" x14ac:dyDescent="0.35">
      <c r="A1" s="1" t="s">
        <v>411</v>
      </c>
      <c r="K1" s="9"/>
      <c r="M1" s="1" t="s">
        <v>412</v>
      </c>
      <c r="W1" s="9"/>
      <c r="Y1" s="1" t="s">
        <v>413</v>
      </c>
      <c r="AK1" s="1" t="s">
        <v>414</v>
      </c>
      <c r="AX1" s="1" t="s">
        <v>415</v>
      </c>
      <c r="BK1" t="s">
        <v>868</v>
      </c>
    </row>
    <row r="2" spans="1:7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2" t="s">
        <v>2</v>
      </c>
      <c r="AM2" s="1" t="s">
        <v>3</v>
      </c>
      <c r="AN2" s="12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0"/>
      <c r="AV2" s="9"/>
      <c r="AX2" s="1" t="s">
        <v>1</v>
      </c>
      <c r="AY2" s="12" t="s">
        <v>2</v>
      </c>
      <c r="AZ2" s="1" t="s">
        <v>3</v>
      </c>
      <c r="BA2" s="12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0"/>
      <c r="BI2" s="9"/>
      <c r="BK2" t="s">
        <v>863</v>
      </c>
      <c r="BL2" t="s">
        <v>864</v>
      </c>
      <c r="BM2" t="s">
        <v>865</v>
      </c>
    </row>
    <row r="3" spans="1:70" x14ac:dyDescent="0.35">
      <c r="A3">
        <v>1</v>
      </c>
      <c r="B3" s="4">
        <f t="shared" ref="B3:B21" si="0">C3/1000</f>
        <v>1</v>
      </c>
      <c r="C3">
        <v>1000</v>
      </c>
      <c r="D3">
        <v>75</v>
      </c>
      <c r="E3">
        <v>2.2663000000000002</v>
      </c>
      <c r="F3" s="5" t="s">
        <v>416</v>
      </c>
      <c r="G3" t="s">
        <v>417</v>
      </c>
      <c r="H3" s="6">
        <v>45413</v>
      </c>
      <c r="I3" s="6">
        <v>51501</v>
      </c>
      <c r="J3" t="s">
        <v>418</v>
      </c>
      <c r="K3" s="9"/>
      <c r="M3">
        <v>1</v>
      </c>
      <c r="N3" s="4">
        <f>O3/1000</f>
        <v>1</v>
      </c>
      <c r="O3">
        <v>1000</v>
      </c>
      <c r="P3">
        <v>75</v>
      </c>
      <c r="Q3" s="112">
        <v>2.2663000000000002</v>
      </c>
      <c r="R3" s="5" t="s">
        <v>419</v>
      </c>
      <c r="S3" t="s">
        <v>420</v>
      </c>
      <c r="T3" s="6">
        <v>45413</v>
      </c>
      <c r="U3" s="6">
        <v>51501</v>
      </c>
      <c r="V3" t="s">
        <v>421</v>
      </c>
      <c r="W3" s="9"/>
      <c r="Y3">
        <v>1</v>
      </c>
      <c r="Z3" s="4">
        <f t="shared" ref="Z3:Z13" si="1">AA3/1000</f>
        <v>19</v>
      </c>
      <c r="AA3">
        <v>19000</v>
      </c>
      <c r="AB3">
        <v>75</v>
      </c>
      <c r="AC3">
        <v>28.558900000000001</v>
      </c>
      <c r="AD3" s="5" t="s">
        <v>422</v>
      </c>
      <c r="AE3" t="s">
        <v>423</v>
      </c>
      <c r="AF3" s="6">
        <v>45413</v>
      </c>
      <c r="AG3" s="6">
        <v>51501</v>
      </c>
      <c r="AH3" t="s">
        <v>424</v>
      </c>
      <c r="AI3" s="9"/>
      <c r="AK3">
        <v>2</v>
      </c>
      <c r="AL3" s="4">
        <f t="shared" ref="AL3:AL33" si="2">AM3/1000</f>
        <v>0.34100000000000003</v>
      </c>
      <c r="AM3">
        <v>341</v>
      </c>
      <c r="AN3" s="4">
        <f t="shared" ref="AN3:AN33" si="3">AK3*AL3</f>
        <v>0.68200000000000005</v>
      </c>
      <c r="AO3">
        <v>75</v>
      </c>
      <c r="AP3" s="112">
        <v>1.5456000000000001</v>
      </c>
      <c r="AQ3" s="5" t="s">
        <v>425</v>
      </c>
      <c r="AR3" t="s">
        <v>426</v>
      </c>
      <c r="AS3" s="6">
        <v>45413</v>
      </c>
      <c r="AT3" s="6">
        <v>51501</v>
      </c>
      <c r="AU3" t="s">
        <v>421</v>
      </c>
      <c r="AV3" s="9"/>
      <c r="AX3">
        <v>6</v>
      </c>
      <c r="AY3" s="4">
        <v>0.13500000000000001</v>
      </c>
      <c r="AZ3">
        <v>135</v>
      </c>
      <c r="BA3" s="4">
        <f t="shared" ref="BA3:BA30" si="4">AX3*AY3</f>
        <v>0.81</v>
      </c>
      <c r="BB3">
        <v>75</v>
      </c>
      <c r="BC3">
        <v>1.8357000000000001</v>
      </c>
      <c r="BD3" s="5" t="s">
        <v>427</v>
      </c>
      <c r="BE3" t="s">
        <v>428</v>
      </c>
      <c r="BF3" s="6">
        <v>45413</v>
      </c>
      <c r="BG3" s="6">
        <v>51501</v>
      </c>
      <c r="BH3" t="s">
        <v>418</v>
      </c>
      <c r="BI3" s="9"/>
      <c r="BK3">
        <v>1</v>
      </c>
      <c r="BL3">
        <v>50.67</v>
      </c>
      <c r="BM3">
        <v>0.95860000000000001</v>
      </c>
      <c r="BP3" s="112"/>
      <c r="BQ3" s="117"/>
      <c r="BR3" s="112"/>
    </row>
    <row r="4" spans="1:70" x14ac:dyDescent="0.35">
      <c r="A4">
        <v>1</v>
      </c>
      <c r="B4" s="4">
        <f t="shared" si="0"/>
        <v>10</v>
      </c>
      <c r="C4">
        <v>10000</v>
      </c>
      <c r="D4">
        <v>75</v>
      </c>
      <c r="E4">
        <v>19.655999999999999</v>
      </c>
      <c r="F4" s="5" t="s">
        <v>429</v>
      </c>
      <c r="G4" t="s">
        <v>430</v>
      </c>
      <c r="H4" s="6">
        <v>45413</v>
      </c>
      <c r="I4" s="6">
        <v>51501</v>
      </c>
      <c r="J4" t="s">
        <v>418</v>
      </c>
      <c r="K4" s="9"/>
      <c r="M4">
        <v>1</v>
      </c>
      <c r="N4" s="4">
        <f t="shared" ref="N4:N41" si="5">O4/1000</f>
        <v>1.1830000000000001</v>
      </c>
      <c r="O4">
        <v>1183</v>
      </c>
      <c r="P4">
        <v>75</v>
      </c>
      <c r="Q4" s="112">
        <v>2.4074</v>
      </c>
      <c r="R4" s="5" t="s">
        <v>431</v>
      </c>
      <c r="S4" t="s">
        <v>432</v>
      </c>
      <c r="T4" s="6">
        <v>45413</v>
      </c>
      <c r="U4" s="6">
        <v>51501</v>
      </c>
      <c r="V4" t="s">
        <v>421</v>
      </c>
      <c r="W4" s="9"/>
      <c r="Y4">
        <v>1</v>
      </c>
      <c r="Z4" s="4">
        <f t="shared" si="1"/>
        <v>19.600000000000001</v>
      </c>
      <c r="AA4">
        <v>19600</v>
      </c>
      <c r="AB4">
        <v>75</v>
      </c>
      <c r="AC4">
        <v>29.460799999999999</v>
      </c>
      <c r="AD4" s="5" t="s">
        <v>433</v>
      </c>
      <c r="AE4" t="s">
        <v>434</v>
      </c>
      <c r="AF4" s="6">
        <v>45413</v>
      </c>
      <c r="AG4" s="6">
        <v>51501</v>
      </c>
      <c r="AH4" t="s">
        <v>424</v>
      </c>
      <c r="AI4" s="9"/>
      <c r="AK4">
        <v>3</v>
      </c>
      <c r="AL4" s="4">
        <f t="shared" si="2"/>
        <v>0.33</v>
      </c>
      <c r="AM4">
        <v>330</v>
      </c>
      <c r="AN4" s="4">
        <f t="shared" si="3"/>
        <v>0.99</v>
      </c>
      <c r="AO4">
        <v>75</v>
      </c>
      <c r="AP4" s="112">
        <v>2.2435999999999998</v>
      </c>
      <c r="AQ4" s="5" t="s">
        <v>435</v>
      </c>
      <c r="AR4" t="s">
        <v>436</v>
      </c>
      <c r="AS4" s="6">
        <v>45413</v>
      </c>
      <c r="AT4" s="6">
        <v>51501</v>
      </c>
      <c r="AU4" t="s">
        <v>421</v>
      </c>
      <c r="AV4" s="9"/>
      <c r="AX4">
        <v>2</v>
      </c>
      <c r="AY4" s="4">
        <v>0.5</v>
      </c>
      <c r="AZ4">
        <v>500</v>
      </c>
      <c r="BA4" s="4">
        <f t="shared" si="4"/>
        <v>1</v>
      </c>
      <c r="BB4">
        <v>75</v>
      </c>
      <c r="BC4">
        <v>2.2663000000000002</v>
      </c>
      <c r="BD4" s="5" t="s">
        <v>437</v>
      </c>
      <c r="BE4" t="s">
        <v>438</v>
      </c>
      <c r="BF4" s="6">
        <v>45413</v>
      </c>
      <c r="BG4" s="6">
        <v>51501</v>
      </c>
      <c r="BH4" t="s">
        <v>418</v>
      </c>
      <c r="BI4" s="9"/>
      <c r="BP4" s="112"/>
      <c r="BQ4" s="117"/>
      <c r="BR4" s="112"/>
    </row>
    <row r="5" spans="1:70" x14ac:dyDescent="0.35">
      <c r="A5">
        <v>1</v>
      </c>
      <c r="B5" s="4">
        <f t="shared" si="0"/>
        <v>0.25</v>
      </c>
      <c r="C5">
        <v>250</v>
      </c>
      <c r="D5">
        <v>75</v>
      </c>
      <c r="E5">
        <v>0.56659999999999999</v>
      </c>
      <c r="F5" s="5" t="s">
        <v>439</v>
      </c>
      <c r="G5" t="s">
        <v>440</v>
      </c>
      <c r="H5" s="6">
        <v>45413</v>
      </c>
      <c r="I5" s="6">
        <v>51501</v>
      </c>
      <c r="J5" t="s">
        <v>418</v>
      </c>
      <c r="K5" s="9"/>
      <c r="M5">
        <v>1</v>
      </c>
      <c r="N5" s="4">
        <f t="shared" si="5"/>
        <v>1.5</v>
      </c>
      <c r="O5">
        <v>1500</v>
      </c>
      <c r="P5">
        <v>75</v>
      </c>
      <c r="Q5" s="112">
        <v>3.0525000000000002</v>
      </c>
      <c r="R5" s="5" t="s">
        <v>441</v>
      </c>
      <c r="S5" t="s">
        <v>442</v>
      </c>
      <c r="T5" s="6">
        <v>45413</v>
      </c>
      <c r="U5" s="6">
        <v>51501</v>
      </c>
      <c r="V5" t="s">
        <v>421</v>
      </c>
      <c r="W5" s="9"/>
      <c r="Y5">
        <v>1</v>
      </c>
      <c r="Z5" s="4">
        <f t="shared" si="1"/>
        <v>20</v>
      </c>
      <c r="AA5">
        <v>20000</v>
      </c>
      <c r="AB5">
        <v>75</v>
      </c>
      <c r="AC5">
        <v>30.062000000000001</v>
      </c>
      <c r="AD5" s="5" t="s">
        <v>443</v>
      </c>
      <c r="AE5" t="s">
        <v>444</v>
      </c>
      <c r="AF5" s="6">
        <v>45413</v>
      </c>
      <c r="AG5" s="6">
        <v>51501</v>
      </c>
      <c r="AH5" t="s">
        <v>424</v>
      </c>
      <c r="AI5" s="9"/>
      <c r="AK5">
        <v>2</v>
      </c>
      <c r="AL5" s="4">
        <f t="shared" si="2"/>
        <v>0.5</v>
      </c>
      <c r="AM5">
        <v>500</v>
      </c>
      <c r="AN5" s="4">
        <f t="shared" si="3"/>
        <v>1</v>
      </c>
      <c r="AO5">
        <v>75</v>
      </c>
      <c r="AP5" s="112">
        <v>2.2663000000000002</v>
      </c>
      <c r="AQ5" s="5" t="s">
        <v>445</v>
      </c>
      <c r="AR5" t="s">
        <v>446</v>
      </c>
      <c r="AS5" s="6">
        <v>45413</v>
      </c>
      <c r="AT5" s="6">
        <v>51501</v>
      </c>
      <c r="AU5" t="s">
        <v>421</v>
      </c>
      <c r="AV5" s="9"/>
      <c r="AX5">
        <v>2</v>
      </c>
      <c r="AY5" s="4">
        <v>0.65</v>
      </c>
      <c r="AZ5">
        <v>650</v>
      </c>
      <c r="BA5" s="4">
        <f t="shared" si="4"/>
        <v>1.3</v>
      </c>
      <c r="BB5">
        <v>75</v>
      </c>
      <c r="BC5">
        <v>2.6455000000000002</v>
      </c>
      <c r="BD5" s="5" t="s">
        <v>447</v>
      </c>
      <c r="BE5" t="s">
        <v>448</v>
      </c>
      <c r="BF5" s="6">
        <v>45413</v>
      </c>
      <c r="BG5" s="6">
        <v>51501</v>
      </c>
      <c r="BH5" t="s">
        <v>418</v>
      </c>
      <c r="BI5" s="9"/>
      <c r="BP5" s="112"/>
      <c r="BQ5" s="117"/>
      <c r="BR5" s="112"/>
    </row>
    <row r="6" spans="1:70" x14ac:dyDescent="0.35">
      <c r="A6">
        <v>1</v>
      </c>
      <c r="B6" s="4">
        <f t="shared" si="0"/>
        <v>0.33</v>
      </c>
      <c r="C6">
        <v>330</v>
      </c>
      <c r="D6">
        <v>75</v>
      </c>
      <c r="E6">
        <v>0.74790000000000001</v>
      </c>
      <c r="F6" s="5" t="s">
        <v>449</v>
      </c>
      <c r="G6" t="s">
        <v>450</v>
      </c>
      <c r="H6" s="6">
        <v>45413</v>
      </c>
      <c r="I6" s="6">
        <v>51501</v>
      </c>
      <c r="J6" t="s">
        <v>418</v>
      </c>
      <c r="K6" s="9"/>
      <c r="M6">
        <v>1</v>
      </c>
      <c r="N6" s="4">
        <f t="shared" si="5"/>
        <v>0.2</v>
      </c>
      <c r="O6">
        <v>200</v>
      </c>
      <c r="P6">
        <v>75</v>
      </c>
      <c r="Q6" s="112">
        <v>0.45329999999999998</v>
      </c>
      <c r="R6" s="5" t="s">
        <v>451</v>
      </c>
      <c r="S6" t="s">
        <v>452</v>
      </c>
      <c r="T6" s="6">
        <v>45413</v>
      </c>
      <c r="U6" s="6">
        <v>51501</v>
      </c>
      <c r="V6" t="s">
        <v>421</v>
      </c>
      <c r="W6" s="9"/>
      <c r="Y6">
        <v>1</v>
      </c>
      <c r="Z6" s="4">
        <f t="shared" si="1"/>
        <v>25</v>
      </c>
      <c r="AA6">
        <v>25000</v>
      </c>
      <c r="AB6">
        <v>75</v>
      </c>
      <c r="AC6">
        <v>37.577500000000001</v>
      </c>
      <c r="AD6" s="5" t="s">
        <v>453</v>
      </c>
      <c r="AE6" t="s">
        <v>454</v>
      </c>
      <c r="AF6" s="6">
        <v>45413</v>
      </c>
      <c r="AG6" s="6">
        <v>51501</v>
      </c>
      <c r="AH6" t="s">
        <v>424</v>
      </c>
      <c r="AI6" s="9"/>
      <c r="AK6">
        <v>4</v>
      </c>
      <c r="AL6" s="4">
        <f t="shared" si="2"/>
        <v>0.25</v>
      </c>
      <c r="AM6">
        <v>250</v>
      </c>
      <c r="AO6">
        <v>75</v>
      </c>
      <c r="AP6" s="112">
        <v>2.2663000000000002</v>
      </c>
      <c r="AQ6" s="5" t="s">
        <v>455</v>
      </c>
      <c r="AR6" t="s">
        <v>456</v>
      </c>
      <c r="AS6" s="6">
        <v>45413</v>
      </c>
      <c r="AT6" s="6">
        <v>51501</v>
      </c>
      <c r="AU6" t="s">
        <v>421</v>
      </c>
      <c r="AV6" s="9"/>
      <c r="AX6">
        <v>3</v>
      </c>
      <c r="AY6" s="4">
        <v>0.44</v>
      </c>
      <c r="AZ6">
        <v>440</v>
      </c>
      <c r="BA6" s="4">
        <f t="shared" si="4"/>
        <v>1.32</v>
      </c>
      <c r="BB6">
        <v>75</v>
      </c>
      <c r="BC6">
        <v>2.6861999999999999</v>
      </c>
      <c r="BD6" s="5" t="s">
        <v>457</v>
      </c>
      <c r="BE6" t="s">
        <v>458</v>
      </c>
      <c r="BF6" s="6">
        <v>45413</v>
      </c>
      <c r="BG6" s="6">
        <v>51501</v>
      </c>
      <c r="BH6" t="s">
        <v>418</v>
      </c>
      <c r="BI6" s="9"/>
      <c r="BP6" s="112"/>
      <c r="BQ6" s="117"/>
      <c r="BR6" s="112"/>
    </row>
    <row r="7" spans="1:70" x14ac:dyDescent="0.35">
      <c r="A7">
        <v>1</v>
      </c>
      <c r="B7" s="4">
        <f t="shared" si="0"/>
        <v>0.33500000000000002</v>
      </c>
      <c r="C7">
        <v>335</v>
      </c>
      <c r="D7">
        <v>75</v>
      </c>
      <c r="E7">
        <v>0.75919999999999999</v>
      </c>
      <c r="F7" s="5" t="s">
        <v>459</v>
      </c>
      <c r="G7" t="s">
        <v>460</v>
      </c>
      <c r="H7" s="6">
        <v>45413</v>
      </c>
      <c r="I7" s="6">
        <v>51501</v>
      </c>
      <c r="J7" t="s">
        <v>418</v>
      </c>
      <c r="K7" s="9"/>
      <c r="M7">
        <v>1</v>
      </c>
      <c r="N7" s="4">
        <f t="shared" si="5"/>
        <v>2</v>
      </c>
      <c r="O7">
        <v>2000</v>
      </c>
      <c r="P7">
        <v>75</v>
      </c>
      <c r="Q7" s="112">
        <v>4.07</v>
      </c>
      <c r="R7" s="5" t="s">
        <v>461</v>
      </c>
      <c r="S7" t="s">
        <v>462</v>
      </c>
      <c r="T7" s="6">
        <v>45413</v>
      </c>
      <c r="U7" s="6">
        <v>51501</v>
      </c>
      <c r="V7" t="s">
        <v>421</v>
      </c>
      <c r="W7" s="9"/>
      <c r="Y7">
        <v>1</v>
      </c>
      <c r="Z7" s="4">
        <f t="shared" si="1"/>
        <v>30</v>
      </c>
      <c r="AA7">
        <v>30000</v>
      </c>
      <c r="AB7">
        <v>75</v>
      </c>
      <c r="AC7">
        <v>45.093000000000004</v>
      </c>
      <c r="AD7" s="5" t="s">
        <v>463</v>
      </c>
      <c r="AE7" t="s">
        <v>464</v>
      </c>
      <c r="AF7" s="6">
        <v>45413</v>
      </c>
      <c r="AG7" s="6">
        <v>51501</v>
      </c>
      <c r="AH7" t="s">
        <v>424</v>
      </c>
      <c r="AI7" s="9"/>
      <c r="AK7">
        <v>2</v>
      </c>
      <c r="AL7" s="4">
        <f t="shared" si="2"/>
        <v>0.65</v>
      </c>
      <c r="AM7">
        <v>650</v>
      </c>
      <c r="AN7" s="4">
        <f t="shared" si="3"/>
        <v>1.3</v>
      </c>
      <c r="AO7">
        <v>75</v>
      </c>
      <c r="AP7" s="112">
        <v>2.6455000000000002</v>
      </c>
      <c r="AQ7" s="5" t="s">
        <v>465</v>
      </c>
      <c r="AR7" t="s">
        <v>466</v>
      </c>
      <c r="AS7" s="6">
        <v>45413</v>
      </c>
      <c r="AT7" s="6">
        <v>51501</v>
      </c>
      <c r="AU7" t="s">
        <v>421</v>
      </c>
      <c r="AV7" s="9"/>
      <c r="AX7">
        <v>4</v>
      </c>
      <c r="AY7" s="4">
        <v>0.33</v>
      </c>
      <c r="AZ7">
        <v>330</v>
      </c>
      <c r="BA7" s="4"/>
      <c r="BB7">
        <v>75</v>
      </c>
      <c r="BC7">
        <v>2.6861999999999999</v>
      </c>
      <c r="BD7" s="5" t="s">
        <v>467</v>
      </c>
      <c r="BE7" t="s">
        <v>468</v>
      </c>
      <c r="BF7" s="6">
        <v>45413</v>
      </c>
      <c r="BG7" s="6">
        <v>51501</v>
      </c>
      <c r="BH7" t="s">
        <v>418</v>
      </c>
      <c r="BI7" s="9"/>
      <c r="BP7" s="112"/>
      <c r="BQ7" s="117"/>
      <c r="BR7" s="112"/>
    </row>
    <row r="8" spans="1:70" x14ac:dyDescent="0.35">
      <c r="A8">
        <v>1</v>
      </c>
      <c r="B8" s="4">
        <f t="shared" si="0"/>
        <v>0.34</v>
      </c>
      <c r="C8">
        <v>340</v>
      </c>
      <c r="D8">
        <v>75</v>
      </c>
      <c r="E8">
        <v>0.77049999999999996</v>
      </c>
      <c r="F8" s="5" t="s">
        <v>469</v>
      </c>
      <c r="G8" t="s">
        <v>470</v>
      </c>
      <c r="H8" s="6">
        <v>45413</v>
      </c>
      <c r="I8" s="6">
        <v>51501</v>
      </c>
      <c r="J8" t="s">
        <v>418</v>
      </c>
      <c r="K8" s="9"/>
      <c r="M8">
        <v>1</v>
      </c>
      <c r="N8" s="4">
        <f t="shared" si="5"/>
        <v>0.20699999999999999</v>
      </c>
      <c r="O8">
        <v>207</v>
      </c>
      <c r="P8">
        <v>75</v>
      </c>
      <c r="Q8" s="112">
        <v>0.46910000000000002</v>
      </c>
      <c r="R8" s="5" t="s">
        <v>471</v>
      </c>
      <c r="S8" t="s">
        <v>472</v>
      </c>
      <c r="T8" s="6">
        <v>45413</v>
      </c>
      <c r="U8" s="6">
        <v>51501</v>
      </c>
      <c r="V8" t="s">
        <v>421</v>
      </c>
      <c r="W8" s="9"/>
      <c r="Y8">
        <v>1</v>
      </c>
      <c r="Z8" s="4">
        <f t="shared" si="1"/>
        <v>40.909999999999997</v>
      </c>
      <c r="AA8">
        <v>40910</v>
      </c>
      <c r="AB8">
        <v>75</v>
      </c>
      <c r="AC8">
        <v>61.491799999999998</v>
      </c>
      <c r="AD8" s="5" t="s">
        <v>473</v>
      </c>
      <c r="AE8" t="s">
        <v>474</v>
      </c>
      <c r="AF8" s="6">
        <v>45413</v>
      </c>
      <c r="AG8" s="6">
        <v>51501</v>
      </c>
      <c r="AH8" t="s">
        <v>424</v>
      </c>
      <c r="AI8" s="9"/>
      <c r="AK8">
        <v>4</v>
      </c>
      <c r="AL8" s="4">
        <f t="shared" si="2"/>
        <v>0.33</v>
      </c>
      <c r="AM8">
        <v>330</v>
      </c>
      <c r="AN8" s="4">
        <f t="shared" si="3"/>
        <v>1.32</v>
      </c>
      <c r="AO8">
        <v>75</v>
      </c>
      <c r="AP8" s="112">
        <v>2.6861999999999999</v>
      </c>
      <c r="AQ8" s="5" t="s">
        <v>475</v>
      </c>
      <c r="AR8" t="s">
        <v>476</v>
      </c>
      <c r="AS8" s="6">
        <v>45413</v>
      </c>
      <c r="AT8" s="6">
        <v>51501</v>
      </c>
      <c r="AU8" t="s">
        <v>421</v>
      </c>
      <c r="AV8" s="9"/>
      <c r="AX8">
        <v>3</v>
      </c>
      <c r="AY8" s="4">
        <v>0.47299999999999998</v>
      </c>
      <c r="AZ8">
        <v>473</v>
      </c>
      <c r="BA8" s="4">
        <f t="shared" si="4"/>
        <v>1.419</v>
      </c>
      <c r="BB8">
        <v>75</v>
      </c>
      <c r="BC8">
        <v>2.8877000000000002</v>
      </c>
      <c r="BD8" s="5" t="s">
        <v>477</v>
      </c>
      <c r="BE8" t="s">
        <v>478</v>
      </c>
      <c r="BF8" s="6">
        <v>45413</v>
      </c>
      <c r="BG8" s="6">
        <v>51501</v>
      </c>
      <c r="BH8" t="s">
        <v>418</v>
      </c>
      <c r="BI8" s="9"/>
      <c r="BP8" s="112"/>
      <c r="BQ8" s="117"/>
      <c r="BR8" s="112"/>
    </row>
    <row r="9" spans="1:70" x14ac:dyDescent="0.35">
      <c r="A9">
        <v>1</v>
      </c>
      <c r="B9" s="4">
        <f t="shared" si="0"/>
        <v>0.34100000000000003</v>
      </c>
      <c r="C9">
        <v>341</v>
      </c>
      <c r="D9">
        <v>75</v>
      </c>
      <c r="E9">
        <v>0.77280000000000004</v>
      </c>
      <c r="F9" s="5" t="s">
        <v>479</v>
      </c>
      <c r="G9" t="s">
        <v>480</v>
      </c>
      <c r="H9" s="6">
        <v>45413</v>
      </c>
      <c r="I9" s="6">
        <v>51501</v>
      </c>
      <c r="J9" t="s">
        <v>418</v>
      </c>
      <c r="K9" s="9"/>
      <c r="M9">
        <v>1</v>
      </c>
      <c r="N9" s="4">
        <f t="shared" si="5"/>
        <v>0.222</v>
      </c>
      <c r="O9">
        <v>222</v>
      </c>
      <c r="P9">
        <v>75</v>
      </c>
      <c r="Q9" s="112">
        <v>0.50309999999999999</v>
      </c>
      <c r="R9" s="5" t="s">
        <v>481</v>
      </c>
      <c r="S9" t="s">
        <v>482</v>
      </c>
      <c r="T9" s="6">
        <v>45413</v>
      </c>
      <c r="U9" s="6">
        <v>51501</v>
      </c>
      <c r="V9" t="s">
        <v>421</v>
      </c>
      <c r="W9" s="9"/>
      <c r="Y9">
        <v>1</v>
      </c>
      <c r="Z9" s="4">
        <f t="shared" si="1"/>
        <v>45.46</v>
      </c>
      <c r="AA9">
        <v>45460</v>
      </c>
      <c r="AB9">
        <v>75</v>
      </c>
      <c r="AC9">
        <v>68.3309</v>
      </c>
      <c r="AD9" s="5" t="s">
        <v>483</v>
      </c>
      <c r="AE9" t="s">
        <v>484</v>
      </c>
      <c r="AF9" s="6">
        <v>45413</v>
      </c>
      <c r="AG9" s="6">
        <v>51501</v>
      </c>
      <c r="AH9" t="s">
        <v>424</v>
      </c>
      <c r="AI9" s="9"/>
      <c r="AK9">
        <v>4</v>
      </c>
      <c r="AL9" s="4">
        <f t="shared" si="2"/>
        <v>0.34100000000000003</v>
      </c>
      <c r="AM9">
        <v>341</v>
      </c>
      <c r="AN9" s="4">
        <f t="shared" si="3"/>
        <v>1.3640000000000001</v>
      </c>
      <c r="AO9">
        <v>75</v>
      </c>
      <c r="AP9" s="112">
        <v>2.7757000000000001</v>
      </c>
      <c r="AQ9" s="5" t="s">
        <v>485</v>
      </c>
      <c r="AR9" t="s">
        <v>486</v>
      </c>
      <c r="AS9" s="6">
        <v>45413</v>
      </c>
      <c r="AT9" s="6">
        <v>51501</v>
      </c>
      <c r="AU9" t="s">
        <v>421</v>
      </c>
      <c r="AV9" s="9"/>
      <c r="AX9">
        <v>4</v>
      </c>
      <c r="AY9" s="4">
        <v>0.47299999999999998</v>
      </c>
      <c r="AZ9">
        <v>473</v>
      </c>
      <c r="BA9" s="4">
        <f t="shared" si="4"/>
        <v>1.8919999999999999</v>
      </c>
      <c r="BB9">
        <v>75</v>
      </c>
      <c r="BC9">
        <v>3.8502000000000001</v>
      </c>
      <c r="BD9" s="5" t="s">
        <v>487</v>
      </c>
      <c r="BE9" t="s">
        <v>488</v>
      </c>
      <c r="BF9" s="6">
        <v>45413</v>
      </c>
      <c r="BG9" s="6">
        <v>51501</v>
      </c>
      <c r="BH9" t="s">
        <v>418</v>
      </c>
      <c r="BI9" s="9"/>
      <c r="BP9" s="112"/>
      <c r="BQ9" s="117"/>
      <c r="BR9" s="112"/>
    </row>
    <row r="10" spans="1:70" x14ac:dyDescent="0.35">
      <c r="A10">
        <v>1</v>
      </c>
      <c r="B10" s="4">
        <f t="shared" si="0"/>
        <v>0.35399999999999998</v>
      </c>
      <c r="C10">
        <v>354</v>
      </c>
      <c r="D10">
        <v>75</v>
      </c>
      <c r="E10">
        <v>0.80230000000000001</v>
      </c>
      <c r="F10" s="5" t="s">
        <v>489</v>
      </c>
      <c r="G10" t="s">
        <v>490</v>
      </c>
      <c r="H10" s="6">
        <v>45413</v>
      </c>
      <c r="I10" s="6">
        <v>51501</v>
      </c>
      <c r="J10" t="s">
        <v>418</v>
      </c>
      <c r="K10" s="9"/>
      <c r="M10">
        <v>1</v>
      </c>
      <c r="N10" s="4">
        <f t="shared" si="5"/>
        <v>0.25</v>
      </c>
      <c r="O10">
        <v>250</v>
      </c>
      <c r="P10">
        <v>75</v>
      </c>
      <c r="Q10" s="112">
        <v>0.56659999999999999</v>
      </c>
      <c r="R10" s="5" t="s">
        <v>491</v>
      </c>
      <c r="S10" t="s">
        <v>492</v>
      </c>
      <c r="T10" s="6">
        <v>45413</v>
      </c>
      <c r="U10" s="6">
        <v>51501</v>
      </c>
      <c r="V10" t="s">
        <v>421</v>
      </c>
      <c r="W10" s="9"/>
      <c r="Y10">
        <v>1</v>
      </c>
      <c r="Z10" s="4">
        <f t="shared" si="1"/>
        <v>50</v>
      </c>
      <c r="AA10">
        <v>50000</v>
      </c>
      <c r="AB10">
        <v>75</v>
      </c>
      <c r="AC10">
        <v>75.155000000000001</v>
      </c>
      <c r="AD10" s="5" t="s">
        <v>493</v>
      </c>
      <c r="AE10" t="s">
        <v>494</v>
      </c>
      <c r="AF10" s="6">
        <v>45413</v>
      </c>
      <c r="AG10" s="6">
        <v>51501</v>
      </c>
      <c r="AH10" t="s">
        <v>424</v>
      </c>
      <c r="AI10" s="9"/>
      <c r="AK10">
        <v>4</v>
      </c>
      <c r="AL10" s="4">
        <f t="shared" si="2"/>
        <v>0.35499999999999998</v>
      </c>
      <c r="AM10">
        <v>355</v>
      </c>
      <c r="AN10" s="4">
        <f t="shared" si="3"/>
        <v>1.42</v>
      </c>
      <c r="AO10">
        <v>75</v>
      </c>
      <c r="AP10" s="112">
        <v>2.8896999999999999</v>
      </c>
      <c r="AQ10" s="5" t="s">
        <v>495</v>
      </c>
      <c r="AR10" t="s">
        <v>496</v>
      </c>
      <c r="AS10" s="6">
        <v>45413</v>
      </c>
      <c r="AT10" s="6">
        <v>51501</v>
      </c>
      <c r="AU10" t="s">
        <v>421</v>
      </c>
      <c r="AV10" s="9"/>
      <c r="AX10">
        <v>6</v>
      </c>
      <c r="AY10" s="4">
        <v>0.33</v>
      </c>
      <c r="AZ10">
        <v>330</v>
      </c>
      <c r="BA10" s="4">
        <f t="shared" si="4"/>
        <v>1.98</v>
      </c>
      <c r="BB10">
        <v>75</v>
      </c>
      <c r="BC10">
        <v>4.0293000000000001</v>
      </c>
      <c r="BD10" s="5" t="s">
        <v>497</v>
      </c>
      <c r="BE10" t="s">
        <v>498</v>
      </c>
      <c r="BF10" s="6">
        <v>45413</v>
      </c>
      <c r="BG10" s="6">
        <v>51501</v>
      </c>
      <c r="BH10" t="s">
        <v>418</v>
      </c>
      <c r="BI10" s="9"/>
      <c r="BP10" s="112"/>
      <c r="BQ10" s="117"/>
      <c r="BR10" s="112"/>
    </row>
    <row r="11" spans="1:70" x14ac:dyDescent="0.35">
      <c r="A11">
        <v>1</v>
      </c>
      <c r="B11" s="4">
        <f t="shared" si="0"/>
        <v>0.35499999999999998</v>
      </c>
      <c r="C11">
        <v>355</v>
      </c>
      <c r="D11">
        <v>75</v>
      </c>
      <c r="E11">
        <v>0.80449999999999999</v>
      </c>
      <c r="F11" s="5" t="s">
        <v>499</v>
      </c>
      <c r="G11" t="s">
        <v>500</v>
      </c>
      <c r="H11" s="6">
        <v>45413</v>
      </c>
      <c r="I11" s="6">
        <v>51501</v>
      </c>
      <c r="J11" t="s">
        <v>418</v>
      </c>
      <c r="K11" s="9"/>
      <c r="M11">
        <v>1</v>
      </c>
      <c r="N11" s="4">
        <f t="shared" si="5"/>
        <v>0.27500000000000002</v>
      </c>
      <c r="O11">
        <v>275</v>
      </c>
      <c r="P11">
        <v>75</v>
      </c>
      <c r="Q11" s="112">
        <v>0.62319999999999998</v>
      </c>
      <c r="R11" s="5" t="s">
        <v>501</v>
      </c>
      <c r="S11" t="s">
        <v>502</v>
      </c>
      <c r="T11" s="6">
        <v>45413</v>
      </c>
      <c r="U11" s="6">
        <v>51501</v>
      </c>
      <c r="V11" t="s">
        <v>421</v>
      </c>
      <c r="W11" s="9"/>
      <c r="Y11">
        <v>1</v>
      </c>
      <c r="Z11" s="4">
        <f t="shared" si="1"/>
        <v>58.6</v>
      </c>
      <c r="AA11">
        <v>58600</v>
      </c>
      <c r="AB11">
        <v>75</v>
      </c>
      <c r="AC11">
        <v>88.081699999999998</v>
      </c>
      <c r="AD11" s="5" t="s">
        <v>503</v>
      </c>
      <c r="AE11" t="s">
        <v>504</v>
      </c>
      <c r="AF11" s="6">
        <v>45413</v>
      </c>
      <c r="AG11" s="6">
        <v>51501</v>
      </c>
      <c r="AH11" t="s">
        <v>424</v>
      </c>
      <c r="AI11" s="9"/>
      <c r="AK11">
        <v>2</v>
      </c>
      <c r="AL11" s="4">
        <f t="shared" si="2"/>
        <v>0.75</v>
      </c>
      <c r="AM11">
        <v>750</v>
      </c>
      <c r="AN11" s="4">
        <f t="shared" si="3"/>
        <v>1.5</v>
      </c>
      <c r="AO11">
        <v>75</v>
      </c>
      <c r="AP11" s="112">
        <v>3.0525000000000002</v>
      </c>
      <c r="AQ11" s="5" t="s">
        <v>505</v>
      </c>
      <c r="AR11" t="s">
        <v>506</v>
      </c>
      <c r="AS11" s="6">
        <v>45413</v>
      </c>
      <c r="AT11" s="6">
        <v>51501</v>
      </c>
      <c r="AU11" t="s">
        <v>421</v>
      </c>
      <c r="AV11" s="9"/>
      <c r="AX11">
        <v>6</v>
      </c>
      <c r="AY11" s="4">
        <v>0.34100000000000003</v>
      </c>
      <c r="AZ11">
        <v>341</v>
      </c>
      <c r="BA11" s="4">
        <f t="shared" si="4"/>
        <v>2.0460000000000003</v>
      </c>
      <c r="BB11">
        <v>75</v>
      </c>
      <c r="BC11">
        <v>4.1635999999999997</v>
      </c>
      <c r="BD11" s="5" t="s">
        <v>507</v>
      </c>
      <c r="BE11" t="s">
        <v>508</v>
      </c>
      <c r="BF11" s="6">
        <v>45413</v>
      </c>
      <c r="BG11" s="6">
        <v>51501</v>
      </c>
      <c r="BH11" t="s">
        <v>418</v>
      </c>
      <c r="BI11" s="9"/>
      <c r="BP11" s="112"/>
      <c r="BQ11" s="117"/>
      <c r="BR11" s="112"/>
    </row>
    <row r="12" spans="1:70" x14ac:dyDescent="0.35">
      <c r="A12">
        <v>1</v>
      </c>
      <c r="B12" s="4">
        <f t="shared" si="0"/>
        <v>0.375</v>
      </c>
      <c r="C12">
        <v>375</v>
      </c>
      <c r="D12">
        <v>75</v>
      </c>
      <c r="E12">
        <v>0.84989999999999999</v>
      </c>
      <c r="F12" s="5" t="s">
        <v>509</v>
      </c>
      <c r="G12" t="s">
        <v>510</v>
      </c>
      <c r="H12" s="6">
        <v>45413</v>
      </c>
      <c r="I12" s="6">
        <v>51501</v>
      </c>
      <c r="J12" t="s">
        <v>418</v>
      </c>
      <c r="K12" s="9"/>
      <c r="M12">
        <v>1</v>
      </c>
      <c r="N12" s="4">
        <f t="shared" si="5"/>
        <v>0.3</v>
      </c>
      <c r="O12">
        <v>300</v>
      </c>
      <c r="P12">
        <v>75</v>
      </c>
      <c r="Q12" s="112">
        <v>0.67989999999999995</v>
      </c>
      <c r="R12" s="5" t="s">
        <v>511</v>
      </c>
      <c r="S12" t="s">
        <v>512</v>
      </c>
      <c r="T12" s="6">
        <v>45413</v>
      </c>
      <c r="U12" s="6">
        <v>51501</v>
      </c>
      <c r="V12" t="s">
        <v>421</v>
      </c>
      <c r="W12" s="9"/>
      <c r="Y12">
        <v>1</v>
      </c>
      <c r="Z12" s="4">
        <f t="shared" si="1"/>
        <v>58.667999999999999</v>
      </c>
      <c r="AA12">
        <v>58668</v>
      </c>
      <c r="AB12">
        <v>75</v>
      </c>
      <c r="AC12">
        <v>88.183899999999994</v>
      </c>
      <c r="AD12" s="5" t="s">
        <v>513</v>
      </c>
      <c r="AE12" t="s">
        <v>514</v>
      </c>
      <c r="AF12" s="6">
        <v>45413</v>
      </c>
      <c r="AG12" s="6">
        <v>51501</v>
      </c>
      <c r="AH12" t="s">
        <v>424</v>
      </c>
      <c r="AI12" s="9"/>
      <c r="AK12">
        <v>3</v>
      </c>
      <c r="AL12" s="4">
        <f t="shared" si="2"/>
        <v>0.5</v>
      </c>
      <c r="AM12">
        <v>500</v>
      </c>
      <c r="AO12">
        <v>75</v>
      </c>
      <c r="AP12" s="112">
        <v>3.0525000000000002</v>
      </c>
      <c r="AQ12" s="5" t="s">
        <v>515</v>
      </c>
      <c r="AR12" t="s">
        <v>516</v>
      </c>
      <c r="AS12" s="6">
        <v>45413</v>
      </c>
      <c r="AT12" s="6">
        <v>51501</v>
      </c>
      <c r="AU12" t="s">
        <v>421</v>
      </c>
      <c r="AV12" s="9"/>
      <c r="AX12">
        <v>6</v>
      </c>
      <c r="AY12" s="4">
        <v>0.35399999999999998</v>
      </c>
      <c r="AZ12">
        <v>354</v>
      </c>
      <c r="BA12" s="4">
        <f t="shared" si="4"/>
        <v>2.1239999999999997</v>
      </c>
      <c r="BB12">
        <v>75</v>
      </c>
      <c r="BC12">
        <v>4.3223000000000003</v>
      </c>
      <c r="BD12" s="5" t="s">
        <v>517</v>
      </c>
      <c r="BE12" t="s">
        <v>518</v>
      </c>
      <c r="BF12" s="6">
        <v>45413</v>
      </c>
      <c r="BG12" s="6">
        <v>51501</v>
      </c>
      <c r="BH12" t="s">
        <v>418</v>
      </c>
      <c r="BI12" s="9"/>
      <c r="BP12" s="112"/>
      <c r="BQ12" s="117"/>
      <c r="BR12" s="112"/>
    </row>
    <row r="13" spans="1:70" x14ac:dyDescent="0.35">
      <c r="A13">
        <v>1</v>
      </c>
      <c r="B13" s="4">
        <f t="shared" si="0"/>
        <v>0.44</v>
      </c>
      <c r="C13">
        <v>440</v>
      </c>
      <c r="D13">
        <v>75</v>
      </c>
      <c r="E13">
        <v>0.99719999999999998</v>
      </c>
      <c r="F13" s="5" t="s">
        <v>519</v>
      </c>
      <c r="G13" t="s">
        <v>520</v>
      </c>
      <c r="H13" s="6">
        <v>45413</v>
      </c>
      <c r="I13" s="6">
        <v>51501</v>
      </c>
      <c r="J13" t="s">
        <v>418</v>
      </c>
      <c r="K13" s="9"/>
      <c r="M13">
        <v>1</v>
      </c>
      <c r="N13" s="4">
        <f t="shared" si="5"/>
        <v>0.32</v>
      </c>
      <c r="O13">
        <v>320</v>
      </c>
      <c r="P13">
        <v>75</v>
      </c>
      <c r="Q13" s="112">
        <v>0.72519999999999996</v>
      </c>
      <c r="R13" s="5" t="s">
        <v>521</v>
      </c>
      <c r="S13" t="s">
        <v>522</v>
      </c>
      <c r="T13" s="6">
        <v>45413</v>
      </c>
      <c r="U13" s="6">
        <v>51501</v>
      </c>
      <c r="V13" t="s">
        <v>421</v>
      </c>
      <c r="W13" s="9"/>
      <c r="Y13">
        <v>1</v>
      </c>
      <c r="Z13" s="4">
        <f t="shared" si="1"/>
        <v>2</v>
      </c>
      <c r="AA13">
        <v>2000</v>
      </c>
      <c r="AB13">
        <v>75</v>
      </c>
      <c r="AC13">
        <v>4.07</v>
      </c>
      <c r="AD13" s="5" t="s">
        <v>523</v>
      </c>
      <c r="AE13" t="s">
        <v>524</v>
      </c>
      <c r="AF13" s="6">
        <v>45413</v>
      </c>
      <c r="AG13" s="6">
        <v>51501</v>
      </c>
      <c r="AH13" t="s">
        <v>525</v>
      </c>
      <c r="AI13" s="9"/>
      <c r="AK13">
        <v>6</v>
      </c>
      <c r="AL13" s="4">
        <f t="shared" si="2"/>
        <v>0.25</v>
      </c>
      <c r="AM13">
        <v>250</v>
      </c>
      <c r="AO13">
        <v>75</v>
      </c>
      <c r="AP13" s="112">
        <v>3.0525000000000002</v>
      </c>
      <c r="AQ13" s="5" t="s">
        <v>526</v>
      </c>
      <c r="AR13" t="s">
        <v>527</v>
      </c>
      <c r="AS13" s="6">
        <v>45413</v>
      </c>
      <c r="AT13" s="6">
        <v>51501</v>
      </c>
      <c r="AU13" t="s">
        <v>421</v>
      </c>
      <c r="AV13" s="9"/>
      <c r="AX13">
        <v>6</v>
      </c>
      <c r="AY13" s="4">
        <v>0.35499999999999998</v>
      </c>
      <c r="AZ13">
        <v>355</v>
      </c>
      <c r="BA13" s="4">
        <f t="shared" si="4"/>
        <v>2.13</v>
      </c>
      <c r="BB13">
        <v>75</v>
      </c>
      <c r="BC13">
        <v>4.3346</v>
      </c>
      <c r="BD13" s="5" t="s">
        <v>528</v>
      </c>
      <c r="BE13" t="s">
        <v>529</v>
      </c>
      <c r="BF13" s="6">
        <v>45413</v>
      </c>
      <c r="BG13" s="6">
        <v>51501</v>
      </c>
      <c r="BH13" t="s">
        <v>418</v>
      </c>
      <c r="BI13" s="9"/>
      <c r="BP13" s="112"/>
      <c r="BQ13" s="117"/>
      <c r="BR13" s="112"/>
    </row>
    <row r="14" spans="1:70" x14ac:dyDescent="0.35">
      <c r="A14">
        <v>1</v>
      </c>
      <c r="B14" s="4">
        <f t="shared" si="0"/>
        <v>0.45</v>
      </c>
      <c r="C14">
        <v>450</v>
      </c>
      <c r="D14">
        <v>75</v>
      </c>
      <c r="E14">
        <v>1.0198</v>
      </c>
      <c r="F14" s="5" t="s">
        <v>530</v>
      </c>
      <c r="G14" t="s">
        <v>531</v>
      </c>
      <c r="H14" s="6">
        <v>45413</v>
      </c>
      <c r="I14" s="6">
        <v>51501</v>
      </c>
      <c r="J14" t="s">
        <v>418</v>
      </c>
      <c r="K14" s="9"/>
      <c r="M14">
        <v>1</v>
      </c>
      <c r="N14" s="4">
        <f t="shared" si="5"/>
        <v>0.32500000000000001</v>
      </c>
      <c r="O14">
        <v>325</v>
      </c>
      <c r="P14">
        <v>75</v>
      </c>
      <c r="Q14" s="112">
        <v>0.73650000000000004</v>
      </c>
      <c r="R14" s="5" t="s">
        <v>532</v>
      </c>
      <c r="S14" t="s">
        <v>533</v>
      </c>
      <c r="T14" s="6">
        <v>45413</v>
      </c>
      <c r="U14" s="6">
        <v>51501</v>
      </c>
      <c r="V14" t="s">
        <v>421</v>
      </c>
      <c r="W14" s="9"/>
      <c r="Y14">
        <v>1</v>
      </c>
      <c r="Z14" s="4">
        <v>10</v>
      </c>
      <c r="AA14">
        <v>10000</v>
      </c>
      <c r="AB14">
        <v>75</v>
      </c>
      <c r="AC14">
        <v>19.655999999999999</v>
      </c>
      <c r="AD14" t="s">
        <v>954</v>
      </c>
      <c r="AE14" s="2" t="s">
        <v>955</v>
      </c>
      <c r="AF14" s="6">
        <v>45413</v>
      </c>
      <c r="AG14" s="6">
        <v>51501</v>
      </c>
      <c r="AH14" t="s">
        <v>424</v>
      </c>
      <c r="AI14" s="9"/>
      <c r="AK14">
        <v>6</v>
      </c>
      <c r="AL14" s="4">
        <f t="shared" si="2"/>
        <v>0.27500000000000002</v>
      </c>
      <c r="AM14">
        <v>275</v>
      </c>
      <c r="AN14" s="4">
        <f t="shared" si="3"/>
        <v>1.6500000000000001</v>
      </c>
      <c r="AO14">
        <v>75</v>
      </c>
      <c r="AP14" s="112">
        <v>3.3578000000000001</v>
      </c>
      <c r="AQ14" s="5" t="s">
        <v>534</v>
      </c>
      <c r="AR14" t="s">
        <v>535</v>
      </c>
      <c r="AS14" s="6">
        <v>45413</v>
      </c>
      <c r="AT14" s="6">
        <v>51501</v>
      </c>
      <c r="AU14" t="s">
        <v>421</v>
      </c>
      <c r="AV14" s="9"/>
      <c r="AX14">
        <v>6</v>
      </c>
      <c r="AY14" s="4">
        <v>0.47299999999999998</v>
      </c>
      <c r="AZ14">
        <v>473</v>
      </c>
      <c r="BA14" s="4">
        <f t="shared" si="4"/>
        <v>2.8380000000000001</v>
      </c>
      <c r="BB14">
        <v>75</v>
      </c>
      <c r="BC14">
        <v>5.7752999999999997</v>
      </c>
      <c r="BD14" s="5" t="s">
        <v>536</v>
      </c>
      <c r="BE14" t="s">
        <v>537</v>
      </c>
      <c r="BF14" s="6">
        <v>45413</v>
      </c>
      <c r="BG14" s="6">
        <v>51501</v>
      </c>
      <c r="BH14" t="s">
        <v>418</v>
      </c>
      <c r="BI14" s="9"/>
      <c r="BP14" s="112"/>
      <c r="BQ14" s="117"/>
      <c r="BR14" s="112"/>
    </row>
    <row r="15" spans="1:70" x14ac:dyDescent="0.35">
      <c r="A15">
        <v>1</v>
      </c>
      <c r="B15" s="4">
        <f t="shared" si="0"/>
        <v>0.47299999999999998</v>
      </c>
      <c r="C15">
        <v>473</v>
      </c>
      <c r="D15">
        <v>75</v>
      </c>
      <c r="E15">
        <v>1.0720000000000001</v>
      </c>
      <c r="F15" s="5" t="s">
        <v>538</v>
      </c>
      <c r="G15" t="s">
        <v>539</v>
      </c>
      <c r="H15" s="6">
        <v>45413</v>
      </c>
      <c r="I15" s="6">
        <v>51501</v>
      </c>
      <c r="J15" t="s">
        <v>418</v>
      </c>
      <c r="K15" s="9"/>
      <c r="M15">
        <v>1</v>
      </c>
      <c r="N15" s="4">
        <f t="shared" si="5"/>
        <v>0.33</v>
      </c>
      <c r="O15">
        <v>330</v>
      </c>
      <c r="P15">
        <v>75</v>
      </c>
      <c r="Q15" s="112">
        <v>0.74790000000000001</v>
      </c>
      <c r="R15" s="5" t="s">
        <v>540</v>
      </c>
      <c r="S15" t="s">
        <v>541</v>
      </c>
      <c r="T15" s="6">
        <v>45413</v>
      </c>
      <c r="U15" s="6">
        <v>51501</v>
      </c>
      <c r="V15" t="s">
        <v>421</v>
      </c>
      <c r="W15" s="9"/>
      <c r="Z15" s="4"/>
      <c r="AB15" s="4"/>
      <c r="AE15" s="5"/>
      <c r="AG15" s="6"/>
      <c r="AH15" s="6"/>
      <c r="AI15" s="10"/>
      <c r="AK15">
        <v>6</v>
      </c>
      <c r="AL15" s="4">
        <f t="shared" si="2"/>
        <v>0.33</v>
      </c>
      <c r="AM15">
        <v>330</v>
      </c>
      <c r="AN15" s="4">
        <f t="shared" si="3"/>
        <v>1.98</v>
      </c>
      <c r="AO15">
        <v>75</v>
      </c>
      <c r="AP15" s="112">
        <v>4.0293000000000001</v>
      </c>
      <c r="AQ15" s="5" t="s">
        <v>542</v>
      </c>
      <c r="AR15" t="s">
        <v>543</v>
      </c>
      <c r="AS15" s="6">
        <v>45413</v>
      </c>
      <c r="AT15" s="6">
        <v>51501</v>
      </c>
      <c r="AU15" t="s">
        <v>421</v>
      </c>
      <c r="AV15" s="9"/>
      <c r="AX15">
        <v>10</v>
      </c>
      <c r="AY15" s="4">
        <v>0.33</v>
      </c>
      <c r="AZ15">
        <v>330</v>
      </c>
      <c r="BA15" s="4">
        <f t="shared" si="4"/>
        <v>3.3000000000000003</v>
      </c>
      <c r="BB15">
        <v>75</v>
      </c>
      <c r="BC15">
        <v>6.4865000000000004</v>
      </c>
      <c r="BD15" s="5" t="s">
        <v>544</v>
      </c>
      <c r="BE15" t="s">
        <v>545</v>
      </c>
      <c r="BF15" s="6">
        <v>45413</v>
      </c>
      <c r="BG15" s="6">
        <v>51501</v>
      </c>
      <c r="BH15" t="s">
        <v>418</v>
      </c>
      <c r="BI15" s="9"/>
      <c r="BP15" s="112"/>
      <c r="BQ15" s="117"/>
      <c r="BR15" s="112"/>
    </row>
    <row r="16" spans="1:70" x14ac:dyDescent="0.35">
      <c r="A16">
        <v>1</v>
      </c>
      <c r="B16" s="4">
        <f t="shared" si="0"/>
        <v>0.5</v>
      </c>
      <c r="C16">
        <v>500</v>
      </c>
      <c r="D16">
        <v>75</v>
      </c>
      <c r="E16">
        <v>1.1332</v>
      </c>
      <c r="F16" s="5" t="s">
        <v>546</v>
      </c>
      <c r="G16" t="s">
        <v>547</v>
      </c>
      <c r="H16" s="6">
        <v>45413</v>
      </c>
      <c r="I16" s="6">
        <v>51501</v>
      </c>
      <c r="J16" t="s">
        <v>418</v>
      </c>
      <c r="K16" s="9"/>
      <c r="M16">
        <v>1</v>
      </c>
      <c r="N16" s="4">
        <f t="shared" si="5"/>
        <v>0.33400000000000002</v>
      </c>
      <c r="O16">
        <v>334</v>
      </c>
      <c r="P16">
        <v>75</v>
      </c>
      <c r="Q16" s="112">
        <v>0.75690000000000002</v>
      </c>
      <c r="R16" s="5" t="s">
        <v>548</v>
      </c>
      <c r="S16" t="s">
        <v>549</v>
      </c>
      <c r="T16" s="6">
        <v>45413</v>
      </c>
      <c r="U16" s="6">
        <v>51501</v>
      </c>
      <c r="V16" t="s">
        <v>421</v>
      </c>
      <c r="W16" s="9"/>
      <c r="Z16" s="4"/>
      <c r="AB16" s="4"/>
      <c r="AE16" s="5"/>
      <c r="AG16" s="6"/>
      <c r="AH16" s="6"/>
      <c r="AI16" s="10"/>
      <c r="AK16">
        <v>4</v>
      </c>
      <c r="AL16" s="4">
        <f t="shared" si="2"/>
        <v>0.5</v>
      </c>
      <c r="AM16">
        <v>500</v>
      </c>
      <c r="AN16" s="4">
        <f t="shared" si="3"/>
        <v>2</v>
      </c>
      <c r="AO16">
        <v>75</v>
      </c>
      <c r="AP16" s="112">
        <v>4.07</v>
      </c>
      <c r="AQ16" s="5" t="s">
        <v>550</v>
      </c>
      <c r="AR16" t="s">
        <v>551</v>
      </c>
      <c r="AS16" s="6">
        <v>45413</v>
      </c>
      <c r="AT16" s="6">
        <v>51501</v>
      </c>
      <c r="AU16" t="s">
        <v>421</v>
      </c>
      <c r="AV16" s="9"/>
      <c r="AX16">
        <v>8</v>
      </c>
      <c r="AY16" s="4">
        <v>0.44</v>
      </c>
      <c r="AZ16">
        <v>440</v>
      </c>
      <c r="BA16" s="4">
        <f t="shared" si="4"/>
        <v>3.52</v>
      </c>
      <c r="BB16">
        <v>75</v>
      </c>
      <c r="BC16">
        <v>6.9188999999999998</v>
      </c>
      <c r="BD16" s="5" t="s">
        <v>552</v>
      </c>
      <c r="BE16" t="s">
        <v>553</v>
      </c>
      <c r="BF16" s="6">
        <v>45413</v>
      </c>
      <c r="BG16" s="6">
        <v>51501</v>
      </c>
      <c r="BH16" t="s">
        <v>418</v>
      </c>
      <c r="BI16" s="9"/>
      <c r="BP16" s="112"/>
      <c r="BQ16" s="117"/>
      <c r="BR16" s="112"/>
    </row>
    <row r="17" spans="1:70" x14ac:dyDescent="0.35">
      <c r="A17">
        <v>1</v>
      </c>
      <c r="B17" s="4">
        <f t="shared" si="0"/>
        <v>5</v>
      </c>
      <c r="C17">
        <v>5000</v>
      </c>
      <c r="D17">
        <v>75</v>
      </c>
      <c r="E17">
        <v>9.8279999999999994</v>
      </c>
      <c r="F17" s="5" t="s">
        <v>554</v>
      </c>
      <c r="G17" t="s">
        <v>555</v>
      </c>
      <c r="H17" s="6">
        <v>45413</v>
      </c>
      <c r="I17" s="6">
        <v>51501</v>
      </c>
      <c r="J17" t="s">
        <v>418</v>
      </c>
      <c r="K17" s="9"/>
      <c r="M17">
        <v>1</v>
      </c>
      <c r="N17" s="4">
        <f t="shared" si="5"/>
        <v>0.34100000000000003</v>
      </c>
      <c r="O17">
        <v>341</v>
      </c>
      <c r="P17">
        <v>75</v>
      </c>
      <c r="Q17" s="112">
        <v>0.77280000000000004</v>
      </c>
      <c r="R17" s="5" t="s">
        <v>556</v>
      </c>
      <c r="S17" t="s">
        <v>557</v>
      </c>
      <c r="T17" s="6">
        <v>45413</v>
      </c>
      <c r="U17" s="6">
        <v>51501</v>
      </c>
      <c r="V17" t="s">
        <v>421</v>
      </c>
      <c r="W17" s="9"/>
      <c r="Z17" s="4"/>
      <c r="AB17" s="4"/>
      <c r="AE17" s="5"/>
      <c r="AG17" s="6"/>
      <c r="AH17" s="6"/>
      <c r="AI17" s="10"/>
      <c r="AK17">
        <v>6</v>
      </c>
      <c r="AL17" s="4">
        <f t="shared" si="2"/>
        <v>0.34100000000000003</v>
      </c>
      <c r="AM17">
        <v>341</v>
      </c>
      <c r="AN17" s="4">
        <f t="shared" si="3"/>
        <v>2.0460000000000003</v>
      </c>
      <c r="AO17">
        <v>75</v>
      </c>
      <c r="AP17" s="112">
        <v>4.1635999999999997</v>
      </c>
      <c r="AQ17" s="5" t="s">
        <v>558</v>
      </c>
      <c r="AR17" t="s">
        <v>559</v>
      </c>
      <c r="AS17" s="6">
        <v>45413</v>
      </c>
      <c r="AT17" s="6">
        <v>51501</v>
      </c>
      <c r="AU17" t="s">
        <v>421</v>
      </c>
      <c r="AV17" s="9"/>
      <c r="AX17">
        <v>8</v>
      </c>
      <c r="AY17" s="4">
        <v>0.47299999999999998</v>
      </c>
      <c r="AZ17">
        <v>473</v>
      </c>
      <c r="BA17" s="4">
        <f t="shared" si="4"/>
        <v>3.7839999999999998</v>
      </c>
      <c r="BB17">
        <v>75</v>
      </c>
      <c r="BC17">
        <v>7.4378000000000002</v>
      </c>
      <c r="BD17" s="5" t="s">
        <v>560</v>
      </c>
      <c r="BE17" t="s">
        <v>561</v>
      </c>
      <c r="BF17" s="6">
        <v>45413</v>
      </c>
      <c r="BG17" s="6">
        <v>51501</v>
      </c>
      <c r="BH17" t="s">
        <v>418</v>
      </c>
      <c r="BI17" s="9"/>
      <c r="BP17" s="112"/>
      <c r="BQ17" s="117"/>
      <c r="BR17" s="112"/>
    </row>
    <row r="18" spans="1:70" x14ac:dyDescent="0.35">
      <c r="A18">
        <v>1</v>
      </c>
      <c r="B18" s="4">
        <f t="shared" si="0"/>
        <v>0.56799999999999995</v>
      </c>
      <c r="C18">
        <v>568</v>
      </c>
      <c r="D18">
        <v>75</v>
      </c>
      <c r="E18">
        <v>1.2873000000000001</v>
      </c>
      <c r="F18" s="5" t="s">
        <v>562</v>
      </c>
      <c r="G18" t="s">
        <v>563</v>
      </c>
      <c r="H18" s="6">
        <v>45413</v>
      </c>
      <c r="I18" s="6">
        <v>51501</v>
      </c>
      <c r="J18" t="s">
        <v>418</v>
      </c>
      <c r="K18" s="9"/>
      <c r="M18">
        <v>1</v>
      </c>
      <c r="N18" s="4">
        <f t="shared" si="5"/>
        <v>0.34499999999999997</v>
      </c>
      <c r="O18">
        <v>345</v>
      </c>
      <c r="P18">
        <v>75</v>
      </c>
      <c r="Q18" s="112">
        <v>0.78190000000000004</v>
      </c>
      <c r="R18" s="5" t="s">
        <v>564</v>
      </c>
      <c r="S18" t="s">
        <v>565</v>
      </c>
      <c r="T18" s="6">
        <v>45413</v>
      </c>
      <c r="U18" s="6">
        <v>51501</v>
      </c>
      <c r="V18" t="s">
        <v>421</v>
      </c>
      <c r="W18" s="9"/>
      <c r="Z18" s="4"/>
      <c r="AB18" s="4"/>
      <c r="AE18" s="5"/>
      <c r="AG18" s="6"/>
      <c r="AH18" s="6"/>
      <c r="AI18" s="10"/>
      <c r="AK18">
        <v>6</v>
      </c>
      <c r="AL18" s="4">
        <f t="shared" si="2"/>
        <v>0.35499999999999998</v>
      </c>
      <c r="AM18">
        <v>355</v>
      </c>
      <c r="AN18" s="4">
        <f t="shared" si="3"/>
        <v>2.13</v>
      </c>
      <c r="AO18">
        <v>75</v>
      </c>
      <c r="AP18" s="112">
        <v>4.3346</v>
      </c>
      <c r="AQ18" s="5" t="s">
        <v>566</v>
      </c>
      <c r="AR18" t="s">
        <v>567</v>
      </c>
      <c r="AS18" s="6">
        <v>45413</v>
      </c>
      <c r="AT18" s="6">
        <v>51501</v>
      </c>
      <c r="AU18" t="s">
        <v>421</v>
      </c>
      <c r="AV18" s="9"/>
      <c r="AX18">
        <v>12</v>
      </c>
      <c r="AY18" s="4">
        <v>0.33</v>
      </c>
      <c r="AZ18">
        <v>330</v>
      </c>
      <c r="BA18" s="4">
        <f t="shared" si="4"/>
        <v>3.96</v>
      </c>
      <c r="BB18">
        <v>75</v>
      </c>
      <c r="BC18">
        <v>7.7838000000000003</v>
      </c>
      <c r="BD18" s="5" t="s">
        <v>568</v>
      </c>
      <c r="BE18" t="s">
        <v>569</v>
      </c>
      <c r="BF18" s="6">
        <v>45413</v>
      </c>
      <c r="BG18" s="6">
        <v>51501</v>
      </c>
      <c r="BH18" t="s">
        <v>418</v>
      </c>
      <c r="BI18" s="9"/>
      <c r="BP18" s="112"/>
      <c r="BQ18" s="117"/>
      <c r="BR18" s="112"/>
    </row>
    <row r="19" spans="1:70" x14ac:dyDescent="0.35">
      <c r="A19">
        <v>1</v>
      </c>
      <c r="B19" s="4">
        <f t="shared" si="0"/>
        <v>0.65</v>
      </c>
      <c r="C19">
        <v>650</v>
      </c>
      <c r="D19">
        <v>75</v>
      </c>
      <c r="E19">
        <v>1.4731000000000001</v>
      </c>
      <c r="F19" s="5" t="s">
        <v>570</v>
      </c>
      <c r="G19" t="s">
        <v>571</v>
      </c>
      <c r="H19" s="6">
        <v>45413</v>
      </c>
      <c r="I19" s="6">
        <v>51501</v>
      </c>
      <c r="J19" t="s">
        <v>418</v>
      </c>
      <c r="K19" s="9"/>
      <c r="M19">
        <v>1</v>
      </c>
      <c r="N19" s="4">
        <f t="shared" si="5"/>
        <v>0.35</v>
      </c>
      <c r="O19">
        <v>350</v>
      </c>
      <c r="P19">
        <v>75</v>
      </c>
      <c r="Q19" s="112">
        <v>0.79320000000000002</v>
      </c>
      <c r="R19" s="5" t="s">
        <v>572</v>
      </c>
      <c r="S19" t="s">
        <v>573</v>
      </c>
      <c r="T19" s="6">
        <v>45413</v>
      </c>
      <c r="U19" s="6">
        <v>51501</v>
      </c>
      <c r="V19" t="s">
        <v>421</v>
      </c>
      <c r="W19" s="9"/>
      <c r="Z19" s="4"/>
      <c r="AB19" s="4"/>
      <c r="AE19" s="5"/>
      <c r="AG19" s="6"/>
      <c r="AH19" s="6"/>
      <c r="AI19" s="10"/>
      <c r="AK19">
        <v>3</v>
      </c>
      <c r="AL19" s="4">
        <f t="shared" si="2"/>
        <v>0.75</v>
      </c>
      <c r="AM19">
        <v>750</v>
      </c>
      <c r="AN19" s="4">
        <f t="shared" si="3"/>
        <v>2.25</v>
      </c>
      <c r="AO19">
        <v>75</v>
      </c>
      <c r="AP19" s="112">
        <v>4.5788000000000002</v>
      </c>
      <c r="AQ19" s="5" t="s">
        <v>574</v>
      </c>
      <c r="AR19" t="s">
        <v>575</v>
      </c>
      <c r="AS19" s="6">
        <v>45413</v>
      </c>
      <c r="AT19" s="6">
        <v>51501</v>
      </c>
      <c r="AU19" t="s">
        <v>421</v>
      </c>
      <c r="AV19" s="9"/>
      <c r="AX19">
        <v>2</v>
      </c>
      <c r="AY19" s="4">
        <v>2</v>
      </c>
      <c r="AZ19">
        <v>2000</v>
      </c>
      <c r="BA19" s="4"/>
      <c r="BB19">
        <v>75</v>
      </c>
      <c r="BC19">
        <v>4.07</v>
      </c>
      <c r="BD19" s="5" t="s">
        <v>576</v>
      </c>
      <c r="BE19" t="s">
        <v>577</v>
      </c>
      <c r="BF19" s="6">
        <v>45413</v>
      </c>
      <c r="BG19" s="6">
        <v>51501</v>
      </c>
      <c r="BH19" t="s">
        <v>418</v>
      </c>
      <c r="BI19" s="9"/>
      <c r="BP19" s="112"/>
      <c r="BQ19" s="117"/>
      <c r="BR19" s="112"/>
    </row>
    <row r="20" spans="1:70" x14ac:dyDescent="0.35">
      <c r="A20">
        <v>1</v>
      </c>
      <c r="B20" s="4">
        <f t="shared" si="0"/>
        <v>0.71</v>
      </c>
      <c r="C20">
        <v>710</v>
      </c>
      <c r="D20">
        <v>75</v>
      </c>
      <c r="E20">
        <v>1.6091</v>
      </c>
      <c r="F20" s="5" t="s">
        <v>578</v>
      </c>
      <c r="G20" t="s">
        <v>579</v>
      </c>
      <c r="H20" s="6">
        <v>45413</v>
      </c>
      <c r="I20" s="6">
        <v>51501</v>
      </c>
      <c r="J20" t="s">
        <v>418</v>
      </c>
      <c r="K20" s="9"/>
      <c r="M20">
        <v>1</v>
      </c>
      <c r="N20" s="4">
        <f t="shared" si="5"/>
        <v>0.35399999999999998</v>
      </c>
      <c r="O20">
        <v>354</v>
      </c>
      <c r="P20">
        <v>75</v>
      </c>
      <c r="Q20" s="112">
        <v>0.80230000000000001</v>
      </c>
      <c r="R20" s="5" t="s">
        <v>580</v>
      </c>
      <c r="S20" t="s">
        <v>581</v>
      </c>
      <c r="T20" s="6">
        <v>45413</v>
      </c>
      <c r="U20" s="6">
        <v>51501</v>
      </c>
      <c r="V20" t="s">
        <v>421</v>
      </c>
      <c r="W20" s="9"/>
      <c r="Z20" s="4"/>
      <c r="AB20" s="4"/>
      <c r="AE20" s="5"/>
      <c r="AG20" s="6"/>
      <c r="AH20" s="6"/>
      <c r="AI20" s="10"/>
      <c r="AK20">
        <v>6</v>
      </c>
      <c r="AL20" s="4">
        <f t="shared" si="2"/>
        <v>0.375</v>
      </c>
      <c r="AM20">
        <v>375</v>
      </c>
      <c r="AO20">
        <v>75</v>
      </c>
      <c r="AP20" s="112">
        <v>4.5788000000000002</v>
      </c>
      <c r="AQ20" s="5" t="s">
        <v>582</v>
      </c>
      <c r="AR20" t="s">
        <v>583</v>
      </c>
      <c r="AS20" s="6">
        <v>45413</v>
      </c>
      <c r="AT20" s="6">
        <v>51501</v>
      </c>
      <c r="AU20" t="s">
        <v>421</v>
      </c>
      <c r="AV20" s="9"/>
      <c r="AX20">
        <v>8</v>
      </c>
      <c r="AY20" s="4">
        <v>0.5</v>
      </c>
      <c r="AZ20">
        <v>500</v>
      </c>
      <c r="BA20" s="4">
        <f t="shared" si="4"/>
        <v>4</v>
      </c>
      <c r="BB20">
        <v>75</v>
      </c>
      <c r="BC20">
        <v>7.8624000000000001</v>
      </c>
      <c r="BD20" s="5" t="s">
        <v>584</v>
      </c>
      <c r="BE20" t="s">
        <v>585</v>
      </c>
      <c r="BF20" s="6">
        <v>45413</v>
      </c>
      <c r="BG20" s="6">
        <v>51501</v>
      </c>
      <c r="BH20" t="s">
        <v>418</v>
      </c>
      <c r="BI20" s="9"/>
      <c r="BP20" s="112"/>
      <c r="BQ20" s="117"/>
      <c r="BR20" s="112"/>
    </row>
    <row r="21" spans="1:70" x14ac:dyDescent="0.35">
      <c r="A21">
        <v>1</v>
      </c>
      <c r="B21" s="4">
        <f t="shared" si="0"/>
        <v>0.74</v>
      </c>
      <c r="C21">
        <v>740</v>
      </c>
      <c r="D21">
        <v>75</v>
      </c>
      <c r="E21">
        <v>1.6771</v>
      </c>
      <c r="F21" s="5" t="s">
        <v>586</v>
      </c>
      <c r="G21" t="s">
        <v>587</v>
      </c>
      <c r="H21" s="6">
        <v>45413</v>
      </c>
      <c r="I21" s="6">
        <v>51501</v>
      </c>
      <c r="J21" t="s">
        <v>418</v>
      </c>
      <c r="K21" s="9"/>
      <c r="M21">
        <v>1</v>
      </c>
      <c r="N21" s="4">
        <f t="shared" si="5"/>
        <v>0.35499999999999998</v>
      </c>
      <c r="O21">
        <v>355</v>
      </c>
      <c r="P21">
        <v>75</v>
      </c>
      <c r="Q21" s="112">
        <v>0.80449999999999999</v>
      </c>
      <c r="R21" s="5" t="s">
        <v>588</v>
      </c>
      <c r="S21" t="s">
        <v>589</v>
      </c>
      <c r="T21" s="6">
        <v>45413</v>
      </c>
      <c r="U21" s="6">
        <v>51501</v>
      </c>
      <c r="V21" t="s">
        <v>421</v>
      </c>
      <c r="W21" s="9"/>
      <c r="Z21" s="4"/>
      <c r="AB21" s="4"/>
      <c r="AE21" s="5"/>
      <c r="AG21" s="6"/>
      <c r="AH21" s="6"/>
      <c r="AI21" s="10"/>
      <c r="AK21">
        <v>4</v>
      </c>
      <c r="AL21" s="4">
        <f t="shared" si="2"/>
        <v>0.6</v>
      </c>
      <c r="AM21">
        <v>600</v>
      </c>
      <c r="AN21" s="4">
        <f t="shared" si="3"/>
        <v>2.4</v>
      </c>
      <c r="AO21">
        <v>75</v>
      </c>
      <c r="AP21" s="112">
        <v>4.8840000000000003</v>
      </c>
      <c r="AQ21" s="5" t="s">
        <v>590</v>
      </c>
      <c r="AR21" t="s">
        <v>591</v>
      </c>
      <c r="AS21" s="6">
        <v>45413</v>
      </c>
      <c r="AT21" s="6">
        <v>51501</v>
      </c>
      <c r="AU21" t="s">
        <v>421</v>
      </c>
      <c r="AV21" s="9"/>
      <c r="AX21">
        <v>12</v>
      </c>
      <c r="AY21" s="4">
        <v>0.34</v>
      </c>
      <c r="AZ21">
        <v>340</v>
      </c>
      <c r="BA21" s="4">
        <f t="shared" si="4"/>
        <v>4.08</v>
      </c>
      <c r="BB21">
        <v>75</v>
      </c>
      <c r="BC21">
        <v>8.0196000000000005</v>
      </c>
      <c r="BD21" s="5" t="s">
        <v>592</v>
      </c>
      <c r="BE21" t="s">
        <v>593</v>
      </c>
      <c r="BF21" s="6">
        <v>45413</v>
      </c>
      <c r="BG21" s="6">
        <v>51501</v>
      </c>
      <c r="BH21" t="s">
        <v>418</v>
      </c>
      <c r="BI21" s="9"/>
      <c r="BP21" s="112"/>
      <c r="BQ21" s="117"/>
      <c r="BR21" s="112"/>
    </row>
    <row r="22" spans="1:70" x14ac:dyDescent="0.35">
      <c r="A22">
        <v>1</v>
      </c>
      <c r="B22" s="4">
        <v>0.40400000000000003</v>
      </c>
      <c r="C22">
        <v>404</v>
      </c>
      <c r="D22">
        <v>75</v>
      </c>
      <c r="E22">
        <v>0.91559999999999997</v>
      </c>
      <c r="F22" t="s">
        <v>899</v>
      </c>
      <c r="G22" s="2" t="s">
        <v>900</v>
      </c>
      <c r="H22" s="6">
        <v>45413</v>
      </c>
      <c r="I22" s="6">
        <v>51501</v>
      </c>
      <c r="J22" t="s">
        <v>418</v>
      </c>
      <c r="K22" s="9"/>
      <c r="M22">
        <v>1</v>
      </c>
      <c r="N22" s="4">
        <f t="shared" si="5"/>
        <v>0.375</v>
      </c>
      <c r="O22">
        <v>375</v>
      </c>
      <c r="P22">
        <v>75</v>
      </c>
      <c r="Q22" s="112">
        <v>0.84989999999999999</v>
      </c>
      <c r="R22" s="5" t="s">
        <v>594</v>
      </c>
      <c r="S22" t="s">
        <v>595</v>
      </c>
      <c r="T22" s="6">
        <v>45413</v>
      </c>
      <c r="U22" s="6">
        <v>51501</v>
      </c>
      <c r="V22" t="s">
        <v>421</v>
      </c>
      <c r="W22" s="9"/>
      <c r="Z22" s="4"/>
      <c r="AB22" s="4"/>
      <c r="AE22" s="5"/>
      <c r="AG22" s="6"/>
      <c r="AH22" s="6"/>
      <c r="AI22" s="10"/>
      <c r="AK22">
        <v>5</v>
      </c>
      <c r="AL22" s="4">
        <f t="shared" si="2"/>
        <v>0.5</v>
      </c>
      <c r="AM22">
        <v>500</v>
      </c>
      <c r="AN22" s="4">
        <f t="shared" si="3"/>
        <v>2.5</v>
      </c>
      <c r="AO22">
        <v>75</v>
      </c>
      <c r="AP22" s="112">
        <v>5.0875000000000004</v>
      </c>
      <c r="AQ22" s="5" t="s">
        <v>596</v>
      </c>
      <c r="AR22" t="s">
        <v>597</v>
      </c>
      <c r="AS22" s="6">
        <v>45413</v>
      </c>
      <c r="AT22" s="6">
        <v>51501</v>
      </c>
      <c r="AU22" t="s">
        <v>421</v>
      </c>
      <c r="AV22" s="9"/>
      <c r="AX22">
        <v>12</v>
      </c>
      <c r="AY22" s="4">
        <v>0.34100000000000003</v>
      </c>
      <c r="AZ22">
        <v>341</v>
      </c>
      <c r="BA22" s="4">
        <f t="shared" si="4"/>
        <v>4.0920000000000005</v>
      </c>
      <c r="BB22">
        <v>75</v>
      </c>
      <c r="BC22">
        <v>8.0432000000000006</v>
      </c>
      <c r="BD22" s="5" t="s">
        <v>598</v>
      </c>
      <c r="BE22" t="s">
        <v>599</v>
      </c>
      <c r="BF22" s="6">
        <v>45413</v>
      </c>
      <c r="BG22" s="6">
        <v>51501</v>
      </c>
      <c r="BH22" t="s">
        <v>418</v>
      </c>
      <c r="BI22" s="9"/>
      <c r="BP22" s="112"/>
      <c r="BQ22" s="117"/>
      <c r="BR22" s="112"/>
    </row>
    <row r="23" spans="1:70" x14ac:dyDescent="0.35">
      <c r="B23" s="4"/>
      <c r="F23" s="5"/>
      <c r="H23" s="6"/>
      <c r="I23" s="6"/>
      <c r="M23">
        <v>1</v>
      </c>
      <c r="N23" s="4">
        <f t="shared" si="5"/>
        <v>0.44</v>
      </c>
      <c r="O23">
        <v>440</v>
      </c>
      <c r="P23">
        <v>75</v>
      </c>
      <c r="Q23" s="112">
        <v>0.99719999999999998</v>
      </c>
      <c r="R23" s="5" t="s">
        <v>600</v>
      </c>
      <c r="S23" t="s">
        <v>601</v>
      </c>
      <c r="T23" s="6">
        <v>45413</v>
      </c>
      <c r="U23" s="6">
        <v>51501</v>
      </c>
      <c r="V23" t="s">
        <v>421</v>
      </c>
      <c r="W23" s="9"/>
      <c r="Z23" s="4"/>
      <c r="AB23" s="4"/>
      <c r="AE23" s="5"/>
      <c r="AG23" s="6"/>
      <c r="AH23" s="6"/>
      <c r="AI23" s="10"/>
      <c r="AK23">
        <v>8</v>
      </c>
      <c r="AL23" s="4">
        <f t="shared" si="2"/>
        <v>0.33</v>
      </c>
      <c r="AM23">
        <v>330</v>
      </c>
      <c r="AN23" s="4">
        <f t="shared" si="3"/>
        <v>2.64</v>
      </c>
      <c r="AO23">
        <v>75</v>
      </c>
      <c r="AP23" s="112">
        <v>5.3723999999999998</v>
      </c>
      <c r="AQ23" s="5" t="s">
        <v>602</v>
      </c>
      <c r="AR23" t="s">
        <v>603</v>
      </c>
      <c r="AS23" s="6">
        <v>45413</v>
      </c>
      <c r="AT23" s="6">
        <v>51501</v>
      </c>
      <c r="AU23" t="s">
        <v>421</v>
      </c>
      <c r="AV23" s="9"/>
      <c r="AX23">
        <v>9</v>
      </c>
      <c r="AY23" s="4">
        <v>0.47299999999999998</v>
      </c>
      <c r="AZ23">
        <v>473</v>
      </c>
      <c r="BA23" s="4">
        <f t="shared" si="4"/>
        <v>4.2569999999999997</v>
      </c>
      <c r="BB23">
        <v>75</v>
      </c>
      <c r="BC23">
        <v>8.3675999999999995</v>
      </c>
      <c r="BD23" s="5" t="s">
        <v>604</v>
      </c>
      <c r="BE23" t="s">
        <v>605</v>
      </c>
      <c r="BF23" s="6">
        <v>45413</v>
      </c>
      <c r="BG23" s="6">
        <v>51501</v>
      </c>
      <c r="BH23" t="s">
        <v>418</v>
      </c>
      <c r="BI23" s="9"/>
      <c r="BP23" s="112"/>
      <c r="BQ23" s="117"/>
      <c r="BR23" s="112"/>
    </row>
    <row r="24" spans="1:70" x14ac:dyDescent="0.35">
      <c r="B24" s="4"/>
      <c r="F24" s="5"/>
      <c r="H24" s="6"/>
      <c r="I24" s="6"/>
      <c r="M24">
        <v>1</v>
      </c>
      <c r="N24" s="4">
        <f t="shared" si="5"/>
        <v>0.45</v>
      </c>
      <c r="O24">
        <v>450</v>
      </c>
      <c r="P24">
        <v>75</v>
      </c>
      <c r="Q24" s="112">
        <v>1.0198</v>
      </c>
      <c r="R24" s="5" t="s">
        <v>606</v>
      </c>
      <c r="S24" t="s">
        <v>607</v>
      </c>
      <c r="T24" s="6">
        <v>45413</v>
      </c>
      <c r="U24" s="6">
        <v>51501</v>
      </c>
      <c r="V24" t="s">
        <v>421</v>
      </c>
      <c r="W24" s="9"/>
      <c r="Z24" s="4"/>
      <c r="AB24" s="4"/>
      <c r="AE24" s="5"/>
      <c r="AG24" s="6"/>
      <c r="AH24" s="6"/>
      <c r="AI24" s="10"/>
      <c r="AK24">
        <v>6</v>
      </c>
      <c r="AL24" s="4">
        <f t="shared" si="2"/>
        <v>0.5</v>
      </c>
      <c r="AM24">
        <v>500</v>
      </c>
      <c r="AN24" s="4">
        <f t="shared" si="3"/>
        <v>3</v>
      </c>
      <c r="AO24">
        <v>75</v>
      </c>
      <c r="AP24" s="112">
        <v>6.1050000000000004</v>
      </c>
      <c r="AQ24" s="5" t="s">
        <v>608</v>
      </c>
      <c r="AR24" t="s">
        <v>609</v>
      </c>
      <c r="AS24" s="6">
        <v>45413</v>
      </c>
      <c r="AT24" s="6">
        <v>51501</v>
      </c>
      <c r="AU24" t="s">
        <v>421</v>
      </c>
      <c r="AV24" s="9"/>
      <c r="AX24">
        <v>12</v>
      </c>
      <c r="AY24" s="4">
        <v>0.35499999999999998</v>
      </c>
      <c r="AZ24">
        <v>355</v>
      </c>
      <c r="BA24" s="4">
        <f t="shared" si="4"/>
        <v>4.26</v>
      </c>
      <c r="BB24">
        <v>75</v>
      </c>
      <c r="BC24">
        <v>8.3734999999999999</v>
      </c>
      <c r="BD24" s="5" t="s">
        <v>610</v>
      </c>
      <c r="BE24" t="s">
        <v>611</v>
      </c>
      <c r="BF24" s="6">
        <v>45413</v>
      </c>
      <c r="BG24" s="6">
        <v>51501</v>
      </c>
      <c r="BH24" t="s">
        <v>418</v>
      </c>
      <c r="BI24" s="9"/>
      <c r="BP24" s="112"/>
      <c r="BQ24" s="117"/>
      <c r="BR24" s="112"/>
    </row>
    <row r="25" spans="1:70" x14ac:dyDescent="0.35">
      <c r="B25" s="4"/>
      <c r="F25" s="5"/>
      <c r="H25" s="6"/>
      <c r="I25" s="6"/>
      <c r="M25">
        <v>1</v>
      </c>
      <c r="N25" s="4">
        <f t="shared" si="5"/>
        <v>0.47299999999999998</v>
      </c>
      <c r="O25">
        <v>473</v>
      </c>
      <c r="P25">
        <v>75</v>
      </c>
      <c r="Q25" s="112">
        <v>1.0720000000000001</v>
      </c>
      <c r="R25" s="5" t="s">
        <v>612</v>
      </c>
      <c r="S25" t="s">
        <v>613</v>
      </c>
      <c r="T25" s="6">
        <v>45413</v>
      </c>
      <c r="U25" s="6">
        <v>51501</v>
      </c>
      <c r="V25" t="s">
        <v>421</v>
      </c>
      <c r="W25" s="9"/>
      <c r="Z25" s="4"/>
      <c r="AB25" s="4"/>
      <c r="AE25" s="5"/>
      <c r="AG25" s="6"/>
      <c r="AH25" s="6"/>
      <c r="AI25" s="10"/>
      <c r="AK25">
        <v>12</v>
      </c>
      <c r="AL25" s="4">
        <f t="shared" si="2"/>
        <v>0.33</v>
      </c>
      <c r="AM25">
        <v>330</v>
      </c>
      <c r="AN25" s="4">
        <f t="shared" si="3"/>
        <v>3.96</v>
      </c>
      <c r="AO25">
        <v>75</v>
      </c>
      <c r="AP25" s="112">
        <v>7.7838000000000003</v>
      </c>
      <c r="AQ25" s="5" t="s">
        <v>614</v>
      </c>
      <c r="AR25" t="s">
        <v>615</v>
      </c>
      <c r="AS25" s="6">
        <v>45413</v>
      </c>
      <c r="AT25" s="6">
        <v>51501</v>
      </c>
      <c r="AU25" t="s">
        <v>421</v>
      </c>
      <c r="AV25" s="9"/>
      <c r="AX25">
        <v>15</v>
      </c>
      <c r="AY25" s="4">
        <v>0.35499999999999998</v>
      </c>
      <c r="AZ25">
        <v>355</v>
      </c>
      <c r="BA25" s="4">
        <f t="shared" si="4"/>
        <v>5.3249999999999993</v>
      </c>
      <c r="BB25">
        <v>75</v>
      </c>
      <c r="BC25">
        <v>10.466799999999999</v>
      </c>
      <c r="BD25" s="5" t="s">
        <v>616</v>
      </c>
      <c r="BE25" t="s">
        <v>617</v>
      </c>
      <c r="BF25" s="6">
        <v>45413</v>
      </c>
      <c r="BG25" s="6">
        <v>51501</v>
      </c>
      <c r="BH25" t="s">
        <v>418</v>
      </c>
      <c r="BI25" s="9"/>
      <c r="BP25" s="112"/>
      <c r="BQ25" s="117"/>
      <c r="BR25" s="112"/>
    </row>
    <row r="26" spans="1:70" x14ac:dyDescent="0.35">
      <c r="B26" s="4"/>
      <c r="F26" s="5"/>
      <c r="H26" s="6"/>
      <c r="I26" s="6"/>
      <c r="M26">
        <v>1</v>
      </c>
      <c r="N26" s="4">
        <f t="shared" si="5"/>
        <v>0.5</v>
      </c>
      <c r="O26">
        <v>500</v>
      </c>
      <c r="P26">
        <v>75</v>
      </c>
      <c r="Q26" s="112">
        <v>1.1332</v>
      </c>
      <c r="R26" s="5" t="s">
        <v>618</v>
      </c>
      <c r="S26" t="s">
        <v>619</v>
      </c>
      <c r="T26" s="6">
        <v>45413</v>
      </c>
      <c r="U26" s="6">
        <v>51501</v>
      </c>
      <c r="V26" t="s">
        <v>421</v>
      </c>
      <c r="W26" s="9"/>
      <c r="Z26" s="4"/>
      <c r="AB26" s="4"/>
      <c r="AE26" s="5"/>
      <c r="AG26" s="6"/>
      <c r="AH26" s="6"/>
      <c r="AI26" s="10"/>
      <c r="AK26">
        <v>12</v>
      </c>
      <c r="AL26" s="4">
        <f t="shared" si="2"/>
        <v>0.34100000000000003</v>
      </c>
      <c r="AM26">
        <v>341</v>
      </c>
      <c r="AN26" s="4">
        <f t="shared" si="3"/>
        <v>4.0920000000000005</v>
      </c>
      <c r="AO26">
        <v>75</v>
      </c>
      <c r="AP26" s="112">
        <v>8.0432000000000006</v>
      </c>
      <c r="AQ26" s="5" t="s">
        <v>620</v>
      </c>
      <c r="AR26" t="s">
        <v>621</v>
      </c>
      <c r="AS26" s="6">
        <v>45413</v>
      </c>
      <c r="AT26" s="6">
        <v>51501</v>
      </c>
      <c r="AU26" t="s">
        <v>421</v>
      </c>
      <c r="AV26" s="9"/>
      <c r="AX26">
        <v>24</v>
      </c>
      <c r="AY26" s="4">
        <v>0.33</v>
      </c>
      <c r="AZ26">
        <v>330</v>
      </c>
      <c r="BA26" s="4">
        <f t="shared" si="4"/>
        <v>7.92</v>
      </c>
      <c r="BB26">
        <v>75</v>
      </c>
      <c r="BC26">
        <v>15.567600000000001</v>
      </c>
      <c r="BD26" s="5" t="s">
        <v>622</v>
      </c>
      <c r="BE26" t="s">
        <v>623</v>
      </c>
      <c r="BF26" s="6">
        <v>45413</v>
      </c>
      <c r="BG26" s="6">
        <v>51501</v>
      </c>
      <c r="BH26" t="s">
        <v>418</v>
      </c>
      <c r="BI26" s="9"/>
      <c r="BP26" s="112"/>
      <c r="BQ26" s="117"/>
      <c r="BR26" s="112"/>
    </row>
    <row r="27" spans="1:70" x14ac:dyDescent="0.35">
      <c r="B27" s="4"/>
      <c r="F27" s="5"/>
      <c r="H27" s="6"/>
      <c r="I27" s="6"/>
      <c r="M27">
        <v>1</v>
      </c>
      <c r="N27" s="4">
        <f t="shared" si="5"/>
        <v>0.55000000000000004</v>
      </c>
      <c r="O27">
        <v>550</v>
      </c>
      <c r="P27">
        <v>75</v>
      </c>
      <c r="Q27" s="112">
        <v>1.2464999999999999</v>
      </c>
      <c r="R27" s="5" t="s">
        <v>624</v>
      </c>
      <c r="S27" t="s">
        <v>625</v>
      </c>
      <c r="T27" s="6">
        <v>45413</v>
      </c>
      <c r="U27" s="6">
        <v>51501</v>
      </c>
      <c r="V27" t="s">
        <v>421</v>
      </c>
      <c r="W27" s="9"/>
      <c r="Z27" s="4"/>
      <c r="AB27" s="4"/>
      <c r="AE27" s="5"/>
      <c r="AG27" s="6"/>
      <c r="AH27" s="6"/>
      <c r="AI27" s="10"/>
      <c r="AK27">
        <v>12</v>
      </c>
      <c r="AL27" s="4">
        <f t="shared" si="2"/>
        <v>0.35499999999999998</v>
      </c>
      <c r="AM27">
        <v>355</v>
      </c>
      <c r="AN27" s="4">
        <f t="shared" si="3"/>
        <v>4.26</v>
      </c>
      <c r="AO27">
        <v>75</v>
      </c>
      <c r="AP27" s="112">
        <v>8.3734999999999999</v>
      </c>
      <c r="AQ27" s="5" t="s">
        <v>626</v>
      </c>
      <c r="AR27" t="s">
        <v>627</v>
      </c>
      <c r="AS27" s="6">
        <v>45413</v>
      </c>
      <c r="AT27" s="6">
        <v>51501</v>
      </c>
      <c r="AU27" t="s">
        <v>421</v>
      </c>
      <c r="AV27" s="9"/>
      <c r="AX27">
        <v>24</v>
      </c>
      <c r="AY27" s="4">
        <v>0.35499999999999998</v>
      </c>
      <c r="AZ27">
        <v>355</v>
      </c>
      <c r="BA27" s="4">
        <f t="shared" si="4"/>
        <v>8.52</v>
      </c>
      <c r="BB27">
        <v>75</v>
      </c>
      <c r="BC27">
        <v>16.7469</v>
      </c>
      <c r="BD27" s="5" t="s">
        <v>628</v>
      </c>
      <c r="BE27" t="s">
        <v>629</v>
      </c>
      <c r="BF27" s="6">
        <v>45413</v>
      </c>
      <c r="BG27" s="6">
        <v>51501</v>
      </c>
      <c r="BH27" t="s">
        <v>418</v>
      </c>
      <c r="BI27" s="9"/>
      <c r="BP27" s="112"/>
      <c r="BQ27" s="117"/>
      <c r="BR27" s="112"/>
    </row>
    <row r="28" spans="1:70" x14ac:dyDescent="0.35">
      <c r="B28" s="4"/>
      <c r="F28" s="5"/>
      <c r="H28" s="6"/>
      <c r="I28" s="6"/>
      <c r="M28">
        <v>1</v>
      </c>
      <c r="N28" s="4">
        <f t="shared" si="5"/>
        <v>0.56799999999999995</v>
      </c>
      <c r="O28">
        <v>568</v>
      </c>
      <c r="P28">
        <v>75</v>
      </c>
      <c r="Q28" s="112">
        <v>1.2873000000000001</v>
      </c>
      <c r="R28" s="5" t="s">
        <v>630</v>
      </c>
      <c r="S28" t="s">
        <v>631</v>
      </c>
      <c r="T28" s="6">
        <v>45413</v>
      </c>
      <c r="U28" s="6">
        <v>51501</v>
      </c>
      <c r="V28" t="s">
        <v>421</v>
      </c>
      <c r="W28" s="9"/>
      <c r="Z28" s="4"/>
      <c r="AB28" s="4"/>
      <c r="AE28" s="5"/>
      <c r="AG28" s="6"/>
      <c r="AH28" s="6"/>
      <c r="AI28" s="10"/>
      <c r="AK28">
        <v>18</v>
      </c>
      <c r="AL28" s="4">
        <f t="shared" si="2"/>
        <v>0.33</v>
      </c>
      <c r="AM28">
        <v>330</v>
      </c>
      <c r="AN28" s="4">
        <f t="shared" si="3"/>
        <v>5.94</v>
      </c>
      <c r="AO28">
        <v>75</v>
      </c>
      <c r="AP28" s="112">
        <v>11.675700000000001</v>
      </c>
      <c r="AQ28" s="5" t="s">
        <v>632</v>
      </c>
      <c r="AR28" t="s">
        <v>633</v>
      </c>
      <c r="AS28" s="6">
        <v>45413</v>
      </c>
      <c r="AT28" s="6">
        <v>51501</v>
      </c>
      <c r="AU28" t="s">
        <v>421</v>
      </c>
      <c r="AV28" s="9"/>
      <c r="AX28">
        <v>30</v>
      </c>
      <c r="AY28" s="4">
        <v>0.29599999999999999</v>
      </c>
      <c r="AZ28">
        <v>296</v>
      </c>
      <c r="BA28" s="4">
        <f t="shared" si="4"/>
        <v>8.879999999999999</v>
      </c>
      <c r="BB28">
        <v>75</v>
      </c>
      <c r="BC28">
        <v>17.454499999999999</v>
      </c>
      <c r="BD28" s="5" t="s">
        <v>634</v>
      </c>
      <c r="BE28" t="s">
        <v>635</v>
      </c>
      <c r="BF28" s="6">
        <v>45413</v>
      </c>
      <c r="BG28" s="6">
        <v>51501</v>
      </c>
      <c r="BH28" t="s">
        <v>418</v>
      </c>
      <c r="BI28" s="9"/>
      <c r="BP28" s="112"/>
      <c r="BQ28" s="117"/>
      <c r="BR28" s="112"/>
    </row>
    <row r="29" spans="1:70" x14ac:dyDescent="0.35">
      <c r="B29" s="4"/>
      <c r="F29" s="5"/>
      <c r="H29" s="6"/>
      <c r="I29" s="6"/>
      <c r="M29">
        <v>1</v>
      </c>
      <c r="N29" s="4">
        <f t="shared" si="5"/>
        <v>0.6</v>
      </c>
      <c r="O29">
        <v>600</v>
      </c>
      <c r="P29">
        <v>75</v>
      </c>
      <c r="Q29" s="112">
        <v>1.3597999999999999</v>
      </c>
      <c r="R29" s="5" t="s">
        <v>636</v>
      </c>
      <c r="S29" t="s">
        <v>637</v>
      </c>
      <c r="T29" s="6">
        <v>45413</v>
      </c>
      <c r="U29" s="6">
        <v>51501</v>
      </c>
      <c r="V29" t="s">
        <v>421</v>
      </c>
      <c r="W29" s="9"/>
      <c r="Z29" s="4"/>
      <c r="AB29" s="4"/>
      <c r="AE29" s="5"/>
      <c r="AG29" s="6"/>
      <c r="AH29" s="6"/>
      <c r="AI29" s="10"/>
      <c r="AK29">
        <v>12</v>
      </c>
      <c r="AL29" s="4">
        <f t="shared" si="2"/>
        <v>0.5</v>
      </c>
      <c r="AM29">
        <v>500</v>
      </c>
      <c r="AN29" s="4">
        <f t="shared" si="3"/>
        <v>6</v>
      </c>
      <c r="AO29">
        <v>75</v>
      </c>
      <c r="AP29" s="112">
        <v>11.7936</v>
      </c>
      <c r="AQ29" s="5" t="s">
        <v>638</v>
      </c>
      <c r="AR29" t="s">
        <v>639</v>
      </c>
      <c r="AS29" s="6">
        <v>45413</v>
      </c>
      <c r="AT29" s="6">
        <v>51501</v>
      </c>
      <c r="AU29" t="s">
        <v>421</v>
      </c>
      <c r="AV29" s="9"/>
      <c r="AX29">
        <v>24</v>
      </c>
      <c r="AY29" s="4">
        <v>0.47299999999999998</v>
      </c>
      <c r="AZ29">
        <v>473</v>
      </c>
      <c r="BA29" s="4">
        <f t="shared" si="4"/>
        <v>11.352</v>
      </c>
      <c r="BB29">
        <v>75</v>
      </c>
      <c r="BC29">
        <v>22.313500000000001</v>
      </c>
      <c r="BD29" s="5" t="s">
        <v>640</v>
      </c>
      <c r="BE29" t="s">
        <v>641</v>
      </c>
      <c r="BF29" s="6">
        <v>45413</v>
      </c>
      <c r="BG29" s="6">
        <v>51501</v>
      </c>
      <c r="BH29" t="s">
        <v>418</v>
      </c>
      <c r="BI29" s="9"/>
      <c r="BP29" s="112"/>
      <c r="BQ29" s="117"/>
      <c r="BR29" s="112"/>
    </row>
    <row r="30" spans="1:70" x14ac:dyDescent="0.35">
      <c r="B30" s="4"/>
      <c r="F30" s="5"/>
      <c r="H30" s="6"/>
      <c r="I30" s="6"/>
      <c r="M30">
        <v>1</v>
      </c>
      <c r="N30" s="4">
        <f t="shared" si="5"/>
        <v>0.625</v>
      </c>
      <c r="O30">
        <v>625</v>
      </c>
      <c r="P30">
        <v>75</v>
      </c>
      <c r="Q30" s="112">
        <v>1.4164000000000001</v>
      </c>
      <c r="R30" s="5" t="s">
        <v>642</v>
      </c>
      <c r="S30" t="s">
        <v>643</v>
      </c>
      <c r="T30" s="6">
        <v>45413</v>
      </c>
      <c r="U30" s="6">
        <v>51501</v>
      </c>
      <c r="V30" t="s">
        <v>421</v>
      </c>
      <c r="W30" s="9"/>
      <c r="AK30">
        <v>20</v>
      </c>
      <c r="AL30" s="4">
        <f t="shared" si="2"/>
        <v>0.33</v>
      </c>
      <c r="AM30">
        <v>330</v>
      </c>
      <c r="AN30" s="4">
        <f t="shared" si="3"/>
        <v>6.6000000000000005</v>
      </c>
      <c r="AO30">
        <v>75</v>
      </c>
      <c r="AP30" s="112">
        <v>12.973000000000001</v>
      </c>
      <c r="AQ30" s="5" t="s">
        <v>644</v>
      </c>
      <c r="AR30" t="s">
        <v>645</v>
      </c>
      <c r="AS30" s="6">
        <v>45413</v>
      </c>
      <c r="AT30" s="6">
        <v>51501</v>
      </c>
      <c r="AU30" t="s">
        <v>421</v>
      </c>
      <c r="AV30" s="9"/>
      <c r="AX30">
        <v>36</v>
      </c>
      <c r="AY30" s="4">
        <v>0.35499999999999998</v>
      </c>
      <c r="AZ30">
        <v>355</v>
      </c>
      <c r="BA30" s="4">
        <f t="shared" si="4"/>
        <v>12.78</v>
      </c>
      <c r="BB30">
        <v>75</v>
      </c>
      <c r="BC30">
        <v>25.1204</v>
      </c>
      <c r="BD30" s="5" t="s">
        <v>646</v>
      </c>
      <c r="BE30" t="s">
        <v>647</v>
      </c>
      <c r="BF30" s="6">
        <v>45413</v>
      </c>
      <c r="BG30" s="6">
        <v>51501</v>
      </c>
      <c r="BH30" t="s">
        <v>418</v>
      </c>
      <c r="BI30" s="9"/>
      <c r="BP30" s="112"/>
      <c r="BQ30" s="117"/>
      <c r="BR30" s="112"/>
    </row>
    <row r="31" spans="1:70" x14ac:dyDescent="0.35">
      <c r="B31" s="4"/>
      <c r="F31" s="5"/>
      <c r="H31" s="6"/>
      <c r="I31" s="6"/>
      <c r="M31">
        <v>1</v>
      </c>
      <c r="N31" s="4">
        <f t="shared" si="5"/>
        <v>0.63</v>
      </c>
      <c r="O31">
        <v>630</v>
      </c>
      <c r="P31">
        <v>75</v>
      </c>
      <c r="Q31" s="112">
        <v>1.4278</v>
      </c>
      <c r="R31" s="5" t="s">
        <v>648</v>
      </c>
      <c r="S31" t="s">
        <v>649</v>
      </c>
      <c r="T31" s="6">
        <v>45413</v>
      </c>
      <c r="U31" s="6">
        <v>51501</v>
      </c>
      <c r="V31" t="s">
        <v>421</v>
      </c>
      <c r="W31" s="9"/>
      <c r="AK31">
        <v>24</v>
      </c>
      <c r="AL31" s="4">
        <f t="shared" si="2"/>
        <v>0.33</v>
      </c>
      <c r="AM31">
        <v>330</v>
      </c>
      <c r="AN31" s="4">
        <f t="shared" si="3"/>
        <v>7.92</v>
      </c>
      <c r="AO31">
        <v>75</v>
      </c>
      <c r="AP31" s="112">
        <v>15.567600000000001</v>
      </c>
      <c r="AQ31" s="5" t="s">
        <v>650</v>
      </c>
      <c r="AR31" t="s">
        <v>651</v>
      </c>
      <c r="AS31" s="6">
        <v>45413</v>
      </c>
      <c r="AT31" s="6">
        <v>51501</v>
      </c>
      <c r="AU31" t="s">
        <v>421</v>
      </c>
      <c r="AV31" s="9"/>
      <c r="AX31">
        <v>4</v>
      </c>
      <c r="AY31" s="4">
        <v>0.47299999999999998</v>
      </c>
      <c r="AZ31">
        <v>473</v>
      </c>
      <c r="BA31" s="4">
        <f t="shared" ref="BA31:BA44" si="6">AX31*AY31</f>
        <v>1.8919999999999999</v>
      </c>
      <c r="BB31">
        <v>75</v>
      </c>
      <c r="BC31">
        <v>3.8502000000000001</v>
      </c>
      <c r="BD31" t="s">
        <v>901</v>
      </c>
      <c r="BE31" s="2" t="s">
        <v>488</v>
      </c>
      <c r="BF31" s="6">
        <v>45413</v>
      </c>
      <c r="BG31" s="6">
        <v>51501</v>
      </c>
      <c r="BH31" t="s">
        <v>418</v>
      </c>
      <c r="BI31" s="9"/>
      <c r="BP31" s="112"/>
      <c r="BQ31" s="117"/>
      <c r="BR31" s="112"/>
    </row>
    <row r="32" spans="1:70" x14ac:dyDescent="0.35">
      <c r="B32" s="4"/>
      <c r="F32" s="5"/>
      <c r="H32" s="6"/>
      <c r="I32" s="6"/>
      <c r="M32">
        <v>1</v>
      </c>
      <c r="N32" s="4">
        <f t="shared" si="5"/>
        <v>0.63300000000000001</v>
      </c>
      <c r="O32">
        <v>633</v>
      </c>
      <c r="P32">
        <v>75</v>
      </c>
      <c r="Q32" s="112">
        <v>1.4346000000000001</v>
      </c>
      <c r="R32" s="5" t="s">
        <v>652</v>
      </c>
      <c r="S32" t="s">
        <v>653</v>
      </c>
      <c r="T32" s="6">
        <v>45413</v>
      </c>
      <c r="U32" s="6">
        <v>51501</v>
      </c>
      <c r="V32" t="s">
        <v>421</v>
      </c>
      <c r="W32" s="9"/>
      <c r="AK32">
        <v>24</v>
      </c>
      <c r="AL32" s="4">
        <f t="shared" si="2"/>
        <v>0.34100000000000003</v>
      </c>
      <c r="AM32">
        <v>341</v>
      </c>
      <c r="AN32" s="4">
        <f t="shared" si="3"/>
        <v>8.1840000000000011</v>
      </c>
      <c r="AO32">
        <v>75</v>
      </c>
      <c r="AP32" s="112">
        <v>16.086500000000001</v>
      </c>
      <c r="AQ32" s="5" t="s">
        <v>654</v>
      </c>
      <c r="AR32" t="s">
        <v>655</v>
      </c>
      <c r="AS32" s="6">
        <v>45413</v>
      </c>
      <c r="AT32" s="6">
        <v>51501</v>
      </c>
      <c r="AU32" t="s">
        <v>421</v>
      </c>
      <c r="AV32" s="9"/>
      <c r="AX32">
        <v>4</v>
      </c>
      <c r="AY32" s="4">
        <v>0.5</v>
      </c>
      <c r="AZ32">
        <v>500</v>
      </c>
      <c r="BA32" s="4">
        <f t="shared" si="6"/>
        <v>2</v>
      </c>
      <c r="BB32">
        <v>75</v>
      </c>
      <c r="BC32">
        <v>4.07</v>
      </c>
      <c r="BD32" t="s">
        <v>902</v>
      </c>
      <c r="BE32" s="2" t="s">
        <v>903</v>
      </c>
      <c r="BF32" s="6">
        <v>45413</v>
      </c>
      <c r="BG32" s="6">
        <v>51501</v>
      </c>
      <c r="BH32" t="s">
        <v>418</v>
      </c>
      <c r="BI32" s="9"/>
      <c r="BP32" s="112"/>
      <c r="BQ32" s="117"/>
      <c r="BR32" s="112"/>
    </row>
    <row r="33" spans="2:70" x14ac:dyDescent="0.35">
      <c r="B33" s="4"/>
      <c r="F33" s="5"/>
      <c r="H33" s="6"/>
      <c r="I33" s="6"/>
      <c r="M33">
        <v>1</v>
      </c>
      <c r="N33" s="4">
        <f t="shared" si="5"/>
        <v>0.64</v>
      </c>
      <c r="O33">
        <v>640</v>
      </c>
      <c r="P33">
        <v>75</v>
      </c>
      <c r="Q33" s="112">
        <v>1.4503999999999999</v>
      </c>
      <c r="R33" s="5" t="s">
        <v>656</v>
      </c>
      <c r="S33" t="s">
        <v>657</v>
      </c>
      <c r="T33" s="6">
        <v>45413</v>
      </c>
      <c r="U33" s="6">
        <v>51501</v>
      </c>
      <c r="V33" t="s">
        <v>421</v>
      </c>
      <c r="W33" s="9"/>
      <c r="AK33">
        <v>24</v>
      </c>
      <c r="AL33" s="4">
        <f t="shared" si="2"/>
        <v>0.35499999999999998</v>
      </c>
      <c r="AM33">
        <v>355</v>
      </c>
      <c r="AN33" s="4">
        <f t="shared" si="3"/>
        <v>8.52</v>
      </c>
      <c r="AO33">
        <v>75</v>
      </c>
      <c r="AP33" s="112">
        <v>16.7469</v>
      </c>
      <c r="AQ33" s="5" t="s">
        <v>658</v>
      </c>
      <c r="AR33" t="s">
        <v>659</v>
      </c>
      <c r="AS33" s="6">
        <v>45413</v>
      </c>
      <c r="AT33" s="6">
        <v>51501</v>
      </c>
      <c r="AU33" t="s">
        <v>421</v>
      </c>
      <c r="AV33" s="9"/>
      <c r="AX33">
        <v>8</v>
      </c>
      <c r="AY33" s="4">
        <v>0.222</v>
      </c>
      <c r="AZ33">
        <v>222</v>
      </c>
      <c r="BA33" s="4">
        <f t="shared" si="6"/>
        <v>1.776</v>
      </c>
      <c r="BB33">
        <v>75</v>
      </c>
      <c r="BC33">
        <v>3.6141999999999999</v>
      </c>
      <c r="BD33" t="s">
        <v>950</v>
      </c>
      <c r="BE33" s="2" t="s">
        <v>951</v>
      </c>
      <c r="BF33" s="6">
        <v>45413</v>
      </c>
      <c r="BG33" s="6">
        <v>51501</v>
      </c>
      <c r="BH33" t="s">
        <v>418</v>
      </c>
      <c r="BI33" s="9"/>
      <c r="BP33" s="112"/>
      <c r="BQ33" s="117"/>
      <c r="BR33" s="112"/>
    </row>
    <row r="34" spans="2:70" x14ac:dyDescent="0.35">
      <c r="B34" s="4"/>
      <c r="F34" s="5"/>
      <c r="H34" s="6"/>
      <c r="I34" s="6"/>
      <c r="M34">
        <v>1</v>
      </c>
      <c r="N34" s="4">
        <f t="shared" si="5"/>
        <v>0.65</v>
      </c>
      <c r="O34">
        <v>650</v>
      </c>
      <c r="P34">
        <v>75</v>
      </c>
      <c r="Q34" s="112">
        <v>1.4731000000000001</v>
      </c>
      <c r="R34" s="5" t="s">
        <v>660</v>
      </c>
      <c r="S34" t="s">
        <v>661</v>
      </c>
      <c r="T34" s="6">
        <v>45413</v>
      </c>
      <c r="U34" s="6">
        <v>51501</v>
      </c>
      <c r="V34" t="s">
        <v>421</v>
      </c>
      <c r="W34" s="9"/>
      <c r="AK34">
        <v>4</v>
      </c>
      <c r="AL34" s="4">
        <v>0.65</v>
      </c>
      <c r="AM34">
        <v>650</v>
      </c>
      <c r="AN34" s="4">
        <f t="shared" ref="AN34:AN45" si="7">AK34*AL34</f>
        <v>2.6</v>
      </c>
      <c r="AO34">
        <v>75</v>
      </c>
      <c r="AP34" s="112">
        <v>5.2910000000000004</v>
      </c>
      <c r="AQ34" t="s">
        <v>904</v>
      </c>
      <c r="AR34" s="2" t="s">
        <v>905</v>
      </c>
      <c r="AS34" s="6">
        <v>45413</v>
      </c>
      <c r="AT34" s="6">
        <v>51501</v>
      </c>
      <c r="AU34" t="s">
        <v>421</v>
      </c>
      <c r="AV34" s="9"/>
      <c r="AX34">
        <v>10</v>
      </c>
      <c r="AY34" s="4">
        <v>0.47299999999999998</v>
      </c>
      <c r="AZ34">
        <v>473</v>
      </c>
      <c r="BA34" s="4">
        <f t="shared" si="6"/>
        <v>4.7299999999999995</v>
      </c>
      <c r="BB34">
        <v>75</v>
      </c>
      <c r="BC34">
        <v>9.2972999999999999</v>
      </c>
      <c r="BD34" t="s">
        <v>952</v>
      </c>
      <c r="BE34" s="2" t="s">
        <v>953</v>
      </c>
      <c r="BF34" s="6">
        <v>45413</v>
      </c>
      <c r="BG34" s="6">
        <v>51501</v>
      </c>
      <c r="BH34" t="s">
        <v>418</v>
      </c>
      <c r="BI34" s="9"/>
      <c r="BP34" s="112"/>
      <c r="BQ34" s="117"/>
      <c r="BR34" s="112"/>
    </row>
    <row r="35" spans="2:70" x14ac:dyDescent="0.35">
      <c r="H35" s="6"/>
      <c r="I35" s="6"/>
      <c r="M35">
        <v>1</v>
      </c>
      <c r="N35" s="4">
        <f t="shared" si="5"/>
        <v>0.65800000000000003</v>
      </c>
      <c r="O35">
        <v>658</v>
      </c>
      <c r="P35">
        <v>75</v>
      </c>
      <c r="Q35" s="112">
        <v>1.4912000000000001</v>
      </c>
      <c r="R35" s="5" t="s">
        <v>662</v>
      </c>
      <c r="S35" t="s">
        <v>663</v>
      </c>
      <c r="T35" s="6">
        <v>45413</v>
      </c>
      <c r="U35" s="6">
        <v>51501</v>
      </c>
      <c r="V35" t="s">
        <v>421</v>
      </c>
      <c r="W35" s="9"/>
      <c r="AK35">
        <v>26</v>
      </c>
      <c r="AL35" s="4">
        <v>0.34100000000000003</v>
      </c>
      <c r="AM35">
        <v>341</v>
      </c>
      <c r="AN35" s="4">
        <v>8.6519999999999992</v>
      </c>
      <c r="AO35">
        <v>75</v>
      </c>
      <c r="AP35" s="112">
        <v>17.006399999999999</v>
      </c>
      <c r="AQ35" t="s">
        <v>916</v>
      </c>
      <c r="AR35" s="2" t="s">
        <v>917</v>
      </c>
      <c r="AS35" s="6">
        <v>45413</v>
      </c>
      <c r="AT35" s="6">
        <v>51501</v>
      </c>
      <c r="AU35" t="s">
        <v>421</v>
      </c>
      <c r="AV35" s="9"/>
      <c r="AX35">
        <v>5</v>
      </c>
      <c r="AY35" s="4">
        <v>0.47299999999999998</v>
      </c>
      <c r="AZ35">
        <v>473</v>
      </c>
      <c r="BA35" s="4">
        <f t="shared" si="6"/>
        <v>2.3649999999999998</v>
      </c>
      <c r="BB35">
        <v>75</v>
      </c>
      <c r="BC35">
        <v>4.8128000000000002</v>
      </c>
      <c r="BD35" t="s">
        <v>906</v>
      </c>
      <c r="BE35" s="2" t="s">
        <v>907</v>
      </c>
      <c r="BF35" s="6">
        <v>45413</v>
      </c>
      <c r="BG35" s="6">
        <v>51501</v>
      </c>
      <c r="BH35" t="s">
        <v>418</v>
      </c>
      <c r="BI35" s="9"/>
      <c r="BP35" s="112"/>
      <c r="BQ35" s="117"/>
      <c r="BR35" s="112"/>
    </row>
    <row r="36" spans="2:70" x14ac:dyDescent="0.35">
      <c r="H36" s="6"/>
      <c r="I36" s="6"/>
      <c r="M36">
        <v>1</v>
      </c>
      <c r="N36" s="4">
        <f t="shared" si="5"/>
        <v>0.66</v>
      </c>
      <c r="O36">
        <v>660</v>
      </c>
      <c r="P36">
        <v>75</v>
      </c>
      <c r="Q36" s="112">
        <v>1.4958</v>
      </c>
      <c r="R36" s="5" t="s">
        <v>664</v>
      </c>
      <c r="S36" t="s">
        <v>665</v>
      </c>
      <c r="T36" s="6">
        <v>45413</v>
      </c>
      <c r="U36" s="6">
        <v>51501</v>
      </c>
      <c r="V36" t="s">
        <v>421</v>
      </c>
      <c r="W36" s="9"/>
      <c r="AK36">
        <v>22</v>
      </c>
      <c r="AL36" s="4">
        <v>0.33</v>
      </c>
      <c r="AM36">
        <v>330</v>
      </c>
      <c r="AN36" s="4">
        <v>7.77</v>
      </c>
      <c r="AO36">
        <v>75</v>
      </c>
      <c r="AP36" s="112">
        <v>15.2727</v>
      </c>
      <c r="AQ36" t="s">
        <v>926</v>
      </c>
      <c r="AR36" s="2" t="s">
        <v>927</v>
      </c>
      <c r="AS36" s="6">
        <v>45413</v>
      </c>
      <c r="AT36" s="6">
        <v>51501</v>
      </c>
      <c r="AU36" t="s">
        <v>421</v>
      </c>
      <c r="AV36" s="9"/>
      <c r="AX36">
        <v>8</v>
      </c>
      <c r="AY36" s="4">
        <v>0.35499999999999998</v>
      </c>
      <c r="AZ36">
        <v>355</v>
      </c>
      <c r="BA36" s="4">
        <v>3.3</v>
      </c>
      <c r="BB36">
        <v>75</v>
      </c>
      <c r="BC36">
        <v>6.4865000000000004</v>
      </c>
      <c r="BD36" t="s">
        <v>908</v>
      </c>
      <c r="BE36" s="2" t="s">
        <v>909</v>
      </c>
      <c r="BF36" s="6">
        <v>45413</v>
      </c>
      <c r="BG36" s="6">
        <v>51501</v>
      </c>
      <c r="BH36" t="s">
        <v>418</v>
      </c>
      <c r="BI36" s="9"/>
      <c r="BP36" s="112"/>
      <c r="BQ36" s="117"/>
      <c r="BR36" s="112"/>
    </row>
    <row r="37" spans="2:70" x14ac:dyDescent="0.35">
      <c r="H37" s="6"/>
      <c r="I37" s="6"/>
      <c r="M37">
        <v>1</v>
      </c>
      <c r="N37" s="4">
        <f t="shared" si="5"/>
        <v>0.71</v>
      </c>
      <c r="O37">
        <v>710</v>
      </c>
      <c r="P37">
        <v>75</v>
      </c>
      <c r="Q37" s="112">
        <v>1.6091</v>
      </c>
      <c r="R37" s="5" t="s">
        <v>666</v>
      </c>
      <c r="S37" t="s">
        <v>667</v>
      </c>
      <c r="T37" s="6">
        <v>45413</v>
      </c>
      <c r="U37" s="6">
        <v>51501</v>
      </c>
      <c r="V37" t="s">
        <v>421</v>
      </c>
      <c r="W37" s="9"/>
      <c r="AK37">
        <v>24</v>
      </c>
      <c r="AL37" s="4">
        <v>0.33</v>
      </c>
      <c r="AM37">
        <v>330</v>
      </c>
      <c r="AN37" s="4">
        <v>8.43</v>
      </c>
      <c r="AO37">
        <v>75</v>
      </c>
      <c r="AP37" s="112">
        <v>16.57</v>
      </c>
      <c r="AQ37" t="s">
        <v>928</v>
      </c>
      <c r="AR37" s="2" t="s">
        <v>929</v>
      </c>
      <c r="AS37" s="6">
        <v>45413</v>
      </c>
      <c r="AT37" s="6">
        <v>51501</v>
      </c>
      <c r="AU37" t="s">
        <v>421</v>
      </c>
      <c r="AV37" s="9"/>
      <c r="AX37">
        <v>10</v>
      </c>
      <c r="AY37" s="4">
        <v>0.35499999999999998</v>
      </c>
      <c r="AZ37">
        <v>355</v>
      </c>
      <c r="BA37" s="4">
        <v>4.18</v>
      </c>
      <c r="BB37">
        <v>75</v>
      </c>
      <c r="BC37">
        <v>8.2162000000000006</v>
      </c>
      <c r="BD37" t="s">
        <v>910</v>
      </c>
      <c r="BE37" s="2" t="s">
        <v>911</v>
      </c>
      <c r="BF37" s="6">
        <v>45413</v>
      </c>
      <c r="BG37" s="6">
        <v>51501</v>
      </c>
      <c r="BH37" t="s">
        <v>418</v>
      </c>
      <c r="BI37" s="9"/>
      <c r="BP37" s="112"/>
      <c r="BQ37" s="117"/>
      <c r="BR37" s="112"/>
    </row>
    <row r="38" spans="2:70" x14ac:dyDescent="0.35">
      <c r="H38" s="6"/>
      <c r="I38" s="6"/>
      <c r="M38">
        <v>1</v>
      </c>
      <c r="N38" s="4">
        <f t="shared" si="5"/>
        <v>0.75</v>
      </c>
      <c r="O38">
        <v>750</v>
      </c>
      <c r="P38">
        <v>75</v>
      </c>
      <c r="Q38" s="112">
        <v>1.6997</v>
      </c>
      <c r="R38" s="5" t="s">
        <v>668</v>
      </c>
      <c r="S38" t="s">
        <v>669</v>
      </c>
      <c r="T38" s="6">
        <v>45413</v>
      </c>
      <c r="U38" s="6">
        <v>51501</v>
      </c>
      <c r="V38" t="s">
        <v>421</v>
      </c>
      <c r="W38" s="9"/>
      <c r="AK38">
        <v>22</v>
      </c>
      <c r="AL38" s="4">
        <v>0.33</v>
      </c>
      <c r="AM38">
        <v>330</v>
      </c>
      <c r="AN38" s="4">
        <f t="shared" si="7"/>
        <v>7.2600000000000007</v>
      </c>
      <c r="AO38">
        <v>75</v>
      </c>
      <c r="AP38" s="112">
        <v>14.270300000000001</v>
      </c>
      <c r="AQ38" t="s">
        <v>932</v>
      </c>
      <c r="AR38" s="2" t="s">
        <v>933</v>
      </c>
      <c r="AS38" s="6">
        <v>45413</v>
      </c>
      <c r="AT38" s="6">
        <v>51501</v>
      </c>
      <c r="AU38" t="s">
        <v>421</v>
      </c>
      <c r="AV38" s="9"/>
      <c r="AX38">
        <v>28</v>
      </c>
      <c r="AY38" s="4">
        <v>0.35499999999999998</v>
      </c>
      <c r="AZ38">
        <v>355</v>
      </c>
      <c r="BA38" s="4">
        <v>9.52</v>
      </c>
      <c r="BB38">
        <v>75</v>
      </c>
      <c r="BC38">
        <v>18.712499999999999</v>
      </c>
      <c r="BD38" t="s">
        <v>912</v>
      </c>
      <c r="BE38" s="2" t="s">
        <v>913</v>
      </c>
      <c r="BF38" s="6">
        <v>45413</v>
      </c>
      <c r="BG38" s="6">
        <v>51501</v>
      </c>
      <c r="BH38" t="s">
        <v>418</v>
      </c>
      <c r="BI38" s="9"/>
      <c r="BP38" s="112"/>
      <c r="BQ38" s="117"/>
      <c r="BR38" s="112"/>
    </row>
    <row r="39" spans="2:70" x14ac:dyDescent="0.35">
      <c r="H39" s="6"/>
      <c r="I39" s="6"/>
      <c r="M39">
        <v>1</v>
      </c>
      <c r="N39" s="4">
        <f t="shared" si="5"/>
        <v>0.76500000000000001</v>
      </c>
      <c r="O39">
        <v>765</v>
      </c>
      <c r="P39">
        <v>75</v>
      </c>
      <c r="Q39" s="112">
        <v>1.7337</v>
      </c>
      <c r="R39" s="5" t="s">
        <v>670</v>
      </c>
      <c r="S39" t="s">
        <v>671</v>
      </c>
      <c r="T39" s="6">
        <v>45413</v>
      </c>
      <c r="U39" s="6">
        <v>51501</v>
      </c>
      <c r="V39" t="s">
        <v>421</v>
      </c>
      <c r="W39" s="9"/>
      <c r="AK39">
        <v>24</v>
      </c>
      <c r="AL39" s="4">
        <v>0.35499999999999998</v>
      </c>
      <c r="AM39">
        <v>355</v>
      </c>
      <c r="AN39" s="4">
        <v>8.4640000000000004</v>
      </c>
      <c r="AO39">
        <v>75</v>
      </c>
      <c r="AP39" s="112">
        <v>16.636800000000001</v>
      </c>
      <c r="AQ39" t="s">
        <v>934</v>
      </c>
      <c r="AR39" s="2" t="s">
        <v>935</v>
      </c>
      <c r="AS39" s="6">
        <v>45413</v>
      </c>
      <c r="AT39" s="6">
        <v>51501</v>
      </c>
      <c r="AU39" t="s">
        <v>421</v>
      </c>
      <c r="AV39" s="9"/>
      <c r="AX39">
        <v>6</v>
      </c>
      <c r="AY39" s="4">
        <v>0.35499999999999998</v>
      </c>
      <c r="AZ39">
        <v>355</v>
      </c>
      <c r="BA39" s="4">
        <v>2.8919999999999999</v>
      </c>
      <c r="BB39">
        <v>75</v>
      </c>
      <c r="BC39">
        <v>5.8852000000000002</v>
      </c>
      <c r="BD39" t="s">
        <v>914</v>
      </c>
      <c r="BE39" s="2" t="s">
        <v>915</v>
      </c>
      <c r="BF39" s="6">
        <v>45413</v>
      </c>
      <c r="BG39" s="6">
        <v>51501</v>
      </c>
      <c r="BH39" t="s">
        <v>418</v>
      </c>
      <c r="BI39" s="9"/>
      <c r="BP39" s="112"/>
      <c r="BQ39" s="117"/>
      <c r="BR39" s="112"/>
    </row>
    <row r="40" spans="2:70" x14ac:dyDescent="0.35">
      <c r="H40" s="6"/>
      <c r="I40" s="6"/>
      <c r="M40">
        <v>1</v>
      </c>
      <c r="N40" s="4">
        <f t="shared" si="5"/>
        <v>0.90900000000000003</v>
      </c>
      <c r="O40">
        <v>909</v>
      </c>
      <c r="P40">
        <v>75</v>
      </c>
      <c r="Q40" s="112">
        <v>2.0600999999999998</v>
      </c>
      <c r="R40" s="5" t="s">
        <v>672</v>
      </c>
      <c r="S40" t="s">
        <v>673</v>
      </c>
      <c r="T40" s="6">
        <v>45413</v>
      </c>
      <c r="U40" s="6">
        <v>51501</v>
      </c>
      <c r="V40" t="s">
        <v>421</v>
      </c>
      <c r="W40" s="9"/>
      <c r="AK40">
        <v>24</v>
      </c>
      <c r="AL40" s="4">
        <f t="shared" ref="AL40:AL43" si="8">AM40/1000</f>
        <v>0.35499999999999998</v>
      </c>
      <c r="AM40">
        <v>355</v>
      </c>
      <c r="AN40" s="4">
        <v>8.0050000000000008</v>
      </c>
      <c r="AO40">
        <v>75</v>
      </c>
      <c r="AP40" s="112">
        <v>15.7346</v>
      </c>
      <c r="AQ40" t="s">
        <v>936</v>
      </c>
      <c r="AR40" s="2" t="s">
        <v>937</v>
      </c>
      <c r="AS40" s="6">
        <v>45413</v>
      </c>
      <c r="AT40" s="6">
        <v>51501</v>
      </c>
      <c r="AU40" t="s">
        <v>421</v>
      </c>
      <c r="AV40" s="9"/>
      <c r="AX40">
        <v>24</v>
      </c>
      <c r="AY40" s="4">
        <v>0.5</v>
      </c>
      <c r="AZ40">
        <v>500</v>
      </c>
      <c r="BA40" s="4">
        <f>AX40*AY40</f>
        <v>12</v>
      </c>
      <c r="BB40">
        <v>75</v>
      </c>
      <c r="BC40">
        <v>23.587199999999999</v>
      </c>
      <c r="BD40" t="s">
        <v>948</v>
      </c>
      <c r="BE40" s="2" t="s">
        <v>949</v>
      </c>
      <c r="BF40" s="6">
        <v>45413</v>
      </c>
      <c r="BG40" s="6">
        <v>51501</v>
      </c>
      <c r="BH40" t="s">
        <v>418</v>
      </c>
      <c r="BI40" s="9"/>
      <c r="BP40" s="112"/>
      <c r="BQ40" s="117"/>
      <c r="BR40" s="112"/>
    </row>
    <row r="41" spans="2:70" x14ac:dyDescent="0.35">
      <c r="H41" s="6"/>
      <c r="I41" s="6"/>
      <c r="M41">
        <v>1</v>
      </c>
      <c r="N41" s="4">
        <f t="shared" si="5"/>
        <v>0.94599999999999995</v>
      </c>
      <c r="O41">
        <v>946</v>
      </c>
      <c r="P41">
        <v>75</v>
      </c>
      <c r="Q41" s="112">
        <v>2.1438999999999999</v>
      </c>
      <c r="R41" s="5" t="s">
        <v>674</v>
      </c>
      <c r="S41" t="s">
        <v>675</v>
      </c>
      <c r="T41" s="6">
        <v>45413</v>
      </c>
      <c r="U41" s="6">
        <v>51501</v>
      </c>
      <c r="V41" t="s">
        <v>421</v>
      </c>
      <c r="W41" s="9"/>
      <c r="AK41">
        <v>24</v>
      </c>
      <c r="AL41" s="4">
        <f t="shared" si="8"/>
        <v>0.35499999999999998</v>
      </c>
      <c r="AM41">
        <v>355</v>
      </c>
      <c r="AN41" s="4">
        <v>8.609</v>
      </c>
      <c r="AO41">
        <v>75</v>
      </c>
      <c r="AP41" s="112">
        <v>16.921900000000001</v>
      </c>
      <c r="AQ41" t="s">
        <v>938</v>
      </c>
      <c r="AR41" s="2" t="s">
        <v>939</v>
      </c>
      <c r="AS41" s="6">
        <v>45413</v>
      </c>
      <c r="AT41" s="6">
        <v>51501</v>
      </c>
      <c r="AU41" t="s">
        <v>421</v>
      </c>
      <c r="AV41" s="9"/>
      <c r="AX41">
        <v>15</v>
      </c>
      <c r="AY41" s="4">
        <v>0.47299999999999998</v>
      </c>
      <c r="AZ41">
        <v>473</v>
      </c>
      <c r="BA41" s="4">
        <f t="shared" si="6"/>
        <v>7.0949999999999998</v>
      </c>
      <c r="BB41">
        <v>75</v>
      </c>
      <c r="BC41">
        <v>13.9459</v>
      </c>
      <c r="BD41" t="s">
        <v>956</v>
      </c>
      <c r="BE41" s="2" t="s">
        <v>957</v>
      </c>
      <c r="BF41" s="6">
        <v>45413</v>
      </c>
      <c r="BG41" s="6">
        <v>51501</v>
      </c>
      <c r="BH41" t="s">
        <v>418</v>
      </c>
      <c r="BI41" s="9"/>
      <c r="BP41" s="112"/>
      <c r="BQ41" s="117"/>
      <c r="BR41" s="112"/>
    </row>
    <row r="42" spans="2:70" x14ac:dyDescent="0.35">
      <c r="M42">
        <v>1</v>
      </c>
      <c r="N42" s="4">
        <v>0.28399999999999997</v>
      </c>
      <c r="O42">
        <v>284</v>
      </c>
      <c r="P42">
        <v>75</v>
      </c>
      <c r="Q42" s="112">
        <v>0.64359999999999995</v>
      </c>
      <c r="R42" t="s">
        <v>895</v>
      </c>
      <c r="S42" s="2" t="s">
        <v>896</v>
      </c>
      <c r="T42" s="6">
        <v>45413</v>
      </c>
      <c r="U42" s="6">
        <v>51501</v>
      </c>
      <c r="V42" t="s">
        <v>421</v>
      </c>
      <c r="W42" s="9"/>
      <c r="AK42">
        <v>24</v>
      </c>
      <c r="AL42" s="4">
        <f t="shared" si="8"/>
        <v>0.35499999999999998</v>
      </c>
      <c r="AM42">
        <v>355</v>
      </c>
      <c r="AN42" s="4">
        <v>8.0519999999999996</v>
      </c>
      <c r="AO42">
        <v>75</v>
      </c>
      <c r="AP42" s="112">
        <v>15.827</v>
      </c>
      <c r="AQ42" t="s">
        <v>940</v>
      </c>
      <c r="AR42" s="2" t="s">
        <v>941</v>
      </c>
      <c r="AS42" s="6">
        <v>45413</v>
      </c>
      <c r="AT42" s="6">
        <v>51501</v>
      </c>
      <c r="AU42" t="s">
        <v>421</v>
      </c>
      <c r="AV42" s="9"/>
      <c r="AX42">
        <v>12</v>
      </c>
      <c r="AY42" s="4">
        <v>0.47299999999999998</v>
      </c>
      <c r="AZ42">
        <v>473</v>
      </c>
      <c r="BA42" s="4">
        <f t="shared" si="6"/>
        <v>5.6760000000000002</v>
      </c>
      <c r="BB42">
        <v>75</v>
      </c>
      <c r="BC42">
        <v>11.156700000000001</v>
      </c>
      <c r="BD42" t="s">
        <v>918</v>
      </c>
      <c r="BE42" s="2" t="s">
        <v>919</v>
      </c>
      <c r="BF42" s="6">
        <v>45413</v>
      </c>
      <c r="BG42" s="6">
        <v>51501</v>
      </c>
      <c r="BH42" t="s">
        <v>418</v>
      </c>
      <c r="BI42" s="9"/>
      <c r="BP42" s="112"/>
      <c r="BQ42" s="117"/>
      <c r="BR42" s="112"/>
    </row>
    <row r="43" spans="2:70" x14ac:dyDescent="0.35">
      <c r="M43">
        <v>1</v>
      </c>
      <c r="N43" s="4">
        <v>0.34</v>
      </c>
      <c r="O43">
        <v>340</v>
      </c>
      <c r="P43">
        <v>75</v>
      </c>
      <c r="Q43" s="112">
        <v>0.77049999999999996</v>
      </c>
      <c r="R43" t="s">
        <v>897</v>
      </c>
      <c r="S43" s="2" t="s">
        <v>898</v>
      </c>
      <c r="T43" s="6">
        <v>45413</v>
      </c>
      <c r="U43" s="6">
        <v>51501</v>
      </c>
      <c r="V43" t="s">
        <v>421</v>
      </c>
      <c r="W43" s="9"/>
      <c r="AK43">
        <v>24</v>
      </c>
      <c r="AL43" s="4">
        <f t="shared" si="8"/>
        <v>0.35499999999999998</v>
      </c>
      <c r="AM43">
        <v>355</v>
      </c>
      <c r="AN43" s="4">
        <v>4.1479999999999997</v>
      </c>
      <c r="AO43">
        <v>75</v>
      </c>
      <c r="AP43" s="112">
        <v>8.1532999999999998</v>
      </c>
      <c r="AQ43" t="s">
        <v>942</v>
      </c>
      <c r="AR43" s="2" t="s">
        <v>943</v>
      </c>
      <c r="AS43" s="6">
        <v>45413</v>
      </c>
      <c r="AT43" s="6">
        <v>51501</v>
      </c>
      <c r="AU43" t="s">
        <v>421</v>
      </c>
      <c r="AV43" s="9"/>
      <c r="AX43">
        <v>48</v>
      </c>
      <c r="AY43" s="4">
        <v>0.47299999999999998</v>
      </c>
      <c r="AZ43">
        <v>473</v>
      </c>
      <c r="BA43" s="4">
        <f t="shared" si="6"/>
        <v>22.704000000000001</v>
      </c>
      <c r="BB43">
        <v>75</v>
      </c>
      <c r="BC43">
        <v>34.126399999999997</v>
      </c>
      <c r="BD43" t="s">
        <v>920</v>
      </c>
      <c r="BE43" s="2" t="s">
        <v>921</v>
      </c>
      <c r="BF43" s="6">
        <v>45413</v>
      </c>
      <c r="BG43" s="6">
        <v>51501</v>
      </c>
      <c r="BH43" t="s">
        <v>418</v>
      </c>
      <c r="BI43" s="9"/>
      <c r="BP43" s="112"/>
      <c r="BQ43" s="117"/>
      <c r="BR43" s="112"/>
    </row>
    <row r="44" spans="2:70" x14ac:dyDescent="0.35">
      <c r="N44" s="4"/>
      <c r="R44" s="5"/>
      <c r="T44" s="6"/>
      <c r="U44" s="6"/>
      <c r="AK44">
        <v>12</v>
      </c>
      <c r="AL44" s="4">
        <v>0.34100000000000003</v>
      </c>
      <c r="AM44">
        <v>341</v>
      </c>
      <c r="AN44" s="4">
        <v>4.12</v>
      </c>
      <c r="AO44">
        <v>75</v>
      </c>
      <c r="AP44" s="112">
        <v>8.0983000000000001</v>
      </c>
      <c r="AQ44" t="s">
        <v>944</v>
      </c>
      <c r="AR44" s="2" t="s">
        <v>945</v>
      </c>
      <c r="AS44" s="6">
        <v>45413</v>
      </c>
      <c r="AT44" s="6">
        <v>51501</v>
      </c>
      <c r="AU44" t="s">
        <v>421</v>
      </c>
      <c r="AV44" s="9"/>
      <c r="AX44">
        <v>4</v>
      </c>
      <c r="AY44" s="4">
        <v>0.222</v>
      </c>
      <c r="AZ44">
        <v>222</v>
      </c>
      <c r="BA44" s="4">
        <f t="shared" si="6"/>
        <v>0.88800000000000001</v>
      </c>
      <c r="BB44">
        <v>75</v>
      </c>
      <c r="BC44">
        <v>2.0125000000000002</v>
      </c>
      <c r="BD44" t="s">
        <v>922</v>
      </c>
      <c r="BE44" s="2" t="s">
        <v>923</v>
      </c>
      <c r="BF44" s="6">
        <v>45413</v>
      </c>
      <c r="BG44" s="6">
        <v>51501</v>
      </c>
      <c r="BH44" t="s">
        <v>418</v>
      </c>
      <c r="BI44" s="9"/>
      <c r="BP44" s="112"/>
      <c r="BQ44" s="117"/>
      <c r="BR44" s="112"/>
    </row>
    <row r="45" spans="2:70" x14ac:dyDescent="0.35">
      <c r="N45" s="4"/>
      <c r="R45" s="5"/>
      <c r="T45" s="6"/>
      <c r="U45" s="6"/>
      <c r="AK45">
        <v>8</v>
      </c>
      <c r="AL45" s="4">
        <v>0.5</v>
      </c>
      <c r="AM45">
        <v>500</v>
      </c>
      <c r="AN45" s="4">
        <f t="shared" si="7"/>
        <v>4</v>
      </c>
      <c r="AO45">
        <v>75</v>
      </c>
      <c r="AP45" s="112">
        <v>7.8624000000000001</v>
      </c>
      <c r="AQ45" t="s">
        <v>946</v>
      </c>
      <c r="AR45" s="2" t="s">
        <v>947</v>
      </c>
      <c r="AS45" s="6">
        <v>45413</v>
      </c>
      <c r="AT45" s="6">
        <v>51501</v>
      </c>
      <c r="AU45" t="s">
        <v>421</v>
      </c>
      <c r="AV45" s="9"/>
      <c r="AX45">
        <v>24</v>
      </c>
      <c r="AY45" s="4">
        <v>0.35499999999999998</v>
      </c>
      <c r="AZ45">
        <v>355</v>
      </c>
      <c r="BA45" s="4">
        <v>8.39</v>
      </c>
      <c r="BB45">
        <v>75</v>
      </c>
      <c r="BC45">
        <v>16.491399999999999</v>
      </c>
      <c r="BD45" t="s">
        <v>924</v>
      </c>
      <c r="BE45" s="2" t="s">
        <v>925</v>
      </c>
      <c r="BF45" s="6">
        <v>45413</v>
      </c>
      <c r="BG45" s="6">
        <v>51501</v>
      </c>
      <c r="BH45" t="s">
        <v>418</v>
      </c>
      <c r="BI45" s="9"/>
      <c r="BP45" s="112"/>
      <c r="BQ45" s="117"/>
      <c r="BR45" s="112"/>
    </row>
    <row r="46" spans="2:70" x14ac:dyDescent="0.35">
      <c r="N46" s="4"/>
      <c r="R46" s="5"/>
      <c r="T46" s="6"/>
      <c r="U46" s="6"/>
      <c r="AR46" s="2"/>
      <c r="AS46" s="6"/>
      <c r="AT46" s="6"/>
      <c r="AV46" s="9"/>
      <c r="AX46">
        <v>24</v>
      </c>
      <c r="AY46" s="4">
        <v>0.35499999999999998</v>
      </c>
      <c r="AZ46">
        <v>355</v>
      </c>
      <c r="BA46" s="4">
        <v>8.42</v>
      </c>
      <c r="BB46">
        <v>75</v>
      </c>
      <c r="BC46">
        <v>16.5504</v>
      </c>
      <c r="BD46" t="s">
        <v>930</v>
      </c>
      <c r="BE46" s="2" t="s">
        <v>931</v>
      </c>
      <c r="BF46" s="6">
        <v>45413</v>
      </c>
      <c r="BG46" s="6">
        <v>51501</v>
      </c>
      <c r="BH46" t="s">
        <v>418</v>
      </c>
      <c r="BI46" s="9"/>
      <c r="BP46" s="112"/>
      <c r="BQ46" s="117"/>
      <c r="BR46" s="112"/>
    </row>
    <row r="47" spans="2:70" x14ac:dyDescent="0.35">
      <c r="N47" s="4"/>
      <c r="R47" s="5"/>
      <c r="T47" s="6"/>
      <c r="U47" s="6"/>
      <c r="AL47"/>
      <c r="AN47"/>
      <c r="AX47">
        <v>4</v>
      </c>
      <c r="AY47" s="4">
        <v>0.48</v>
      </c>
      <c r="AZ47">
        <v>480</v>
      </c>
      <c r="BA47" s="4">
        <f t="shared" ref="BA47" si="9">AX47*AY47</f>
        <v>1.92</v>
      </c>
      <c r="BB47">
        <v>75</v>
      </c>
      <c r="BC47">
        <v>3.9072</v>
      </c>
      <c r="BD47" t="s">
        <v>1070</v>
      </c>
      <c r="BE47" s="2" t="s">
        <v>923</v>
      </c>
      <c r="BF47" s="6">
        <v>45413</v>
      </c>
      <c r="BG47" s="6">
        <v>51501</v>
      </c>
      <c r="BH47" t="s">
        <v>418</v>
      </c>
      <c r="BI47" s="9"/>
      <c r="BP47" s="112"/>
      <c r="BQ47" s="117"/>
      <c r="BR47" s="112"/>
    </row>
    <row r="48" spans="2:70" x14ac:dyDescent="0.35">
      <c r="N48" s="4"/>
      <c r="R48" s="5"/>
      <c r="T48" s="6"/>
      <c r="U48" s="6"/>
      <c r="AL48"/>
      <c r="AN48"/>
      <c r="BQ48" s="112"/>
      <c r="BR48" s="112"/>
    </row>
    <row r="49" spans="11:70" x14ac:dyDescent="0.35">
      <c r="K49"/>
      <c r="N49" s="4"/>
      <c r="R49" s="5"/>
      <c r="T49" s="6"/>
      <c r="U49" s="6"/>
      <c r="AL49"/>
      <c r="AN49"/>
      <c r="AT49" s="6"/>
      <c r="BQ49" s="112"/>
      <c r="BR49" s="112"/>
    </row>
    <row r="50" spans="11:70" x14ac:dyDescent="0.35">
      <c r="K50"/>
      <c r="N50" s="4"/>
      <c r="R50" s="5"/>
      <c r="T50" s="6"/>
      <c r="U50" s="6"/>
      <c r="AL50"/>
      <c r="AN50"/>
      <c r="BQ50" s="112"/>
      <c r="BR50" s="112"/>
    </row>
    <row r="51" spans="11:70" x14ac:dyDescent="0.35">
      <c r="K51"/>
      <c r="N51" s="4"/>
      <c r="R51" s="5"/>
      <c r="T51" s="6"/>
      <c r="U51" s="6"/>
      <c r="AL51"/>
      <c r="AN51"/>
      <c r="BQ51" s="112"/>
      <c r="BR51" s="112"/>
    </row>
    <row r="52" spans="11:70" x14ac:dyDescent="0.35">
      <c r="K52"/>
      <c r="N52" s="4"/>
      <c r="R52" s="5"/>
      <c r="T52" s="6"/>
      <c r="U52" s="6"/>
      <c r="AL52"/>
      <c r="AN52"/>
      <c r="BQ52" s="112"/>
      <c r="BR52" s="112"/>
    </row>
    <row r="53" spans="11:70" x14ac:dyDescent="0.35">
      <c r="K53"/>
      <c r="N53" s="4"/>
      <c r="R53" s="5"/>
      <c r="T53" s="6"/>
      <c r="U53" s="6"/>
      <c r="AL53"/>
      <c r="AN53"/>
    </row>
    <row r="54" spans="11:70" x14ac:dyDescent="0.35">
      <c r="K54"/>
      <c r="N54" s="4"/>
      <c r="R54" s="5"/>
      <c r="T54" s="6"/>
      <c r="U54" s="6"/>
      <c r="AL54"/>
      <c r="AN54"/>
    </row>
    <row r="55" spans="11:70" x14ac:dyDescent="0.35">
      <c r="K55"/>
      <c r="N55" s="4"/>
      <c r="R55" s="5"/>
      <c r="T55" s="6"/>
      <c r="U55" s="6"/>
      <c r="AL55"/>
      <c r="AN55"/>
    </row>
    <row r="56" spans="11:70" x14ac:dyDescent="0.35">
      <c r="K56"/>
      <c r="N56" s="4"/>
      <c r="R56" s="5"/>
      <c r="T56" s="6"/>
      <c r="U56" s="6"/>
      <c r="AL56"/>
      <c r="AN56"/>
    </row>
    <row r="57" spans="11:70" x14ac:dyDescent="0.35">
      <c r="K57"/>
      <c r="N57" s="4"/>
      <c r="R57" s="5"/>
      <c r="T57" s="6"/>
      <c r="U57" s="6"/>
      <c r="AL57"/>
      <c r="AN57"/>
    </row>
    <row r="58" spans="11:70" x14ac:dyDescent="0.35">
      <c r="K58"/>
      <c r="N58" s="4"/>
      <c r="R58" s="5"/>
      <c r="T58" s="6"/>
      <c r="U58" s="6"/>
      <c r="AL58"/>
      <c r="AN58"/>
    </row>
    <row r="59" spans="11:70" x14ac:dyDescent="0.35">
      <c r="K59"/>
      <c r="N59" s="4"/>
      <c r="R59" s="5"/>
      <c r="T59" s="6"/>
      <c r="U59" s="6"/>
      <c r="AL59"/>
      <c r="AN59"/>
    </row>
    <row r="60" spans="11:70" x14ac:dyDescent="0.35">
      <c r="K60"/>
      <c r="N60" s="4"/>
      <c r="R60" s="5"/>
      <c r="T60" s="6"/>
      <c r="U60" s="6"/>
      <c r="AL60"/>
      <c r="AN60"/>
    </row>
    <row r="61" spans="11:70" x14ac:dyDescent="0.35">
      <c r="K61"/>
      <c r="N61" s="4"/>
      <c r="R61" s="5"/>
      <c r="T61" s="6"/>
      <c r="U61" s="6"/>
      <c r="AL61"/>
      <c r="AN61"/>
    </row>
    <row r="62" spans="11:70" x14ac:dyDescent="0.35">
      <c r="K62"/>
      <c r="N62" s="4"/>
      <c r="R62" s="5"/>
      <c r="T62" s="6"/>
      <c r="U62" s="6"/>
    </row>
    <row r="63" spans="11:70" x14ac:dyDescent="0.35">
      <c r="K63"/>
      <c r="N63" s="4"/>
      <c r="R63" s="5"/>
      <c r="T63" s="6"/>
      <c r="U63" s="6"/>
    </row>
    <row r="64" spans="11:70" x14ac:dyDescent="0.35">
      <c r="K64"/>
      <c r="N64" s="4"/>
      <c r="R64" s="5"/>
      <c r="T64" s="6"/>
      <c r="U64" s="6"/>
    </row>
    <row r="65" spans="14:21" customFormat="1" x14ac:dyDescent="0.35">
      <c r="N65" s="4"/>
      <c r="R65" s="5"/>
      <c r="T65" s="6"/>
      <c r="U65" s="6"/>
    </row>
    <row r="66" spans="14:21" customFormat="1" x14ac:dyDescent="0.35">
      <c r="N66" s="4"/>
      <c r="R66" s="5"/>
      <c r="T66" s="6"/>
      <c r="U66" s="6"/>
    </row>
    <row r="67" spans="14:21" customFormat="1" x14ac:dyDescent="0.35">
      <c r="N67" s="4"/>
      <c r="R67" s="5"/>
      <c r="T67" s="6"/>
      <c r="U67" s="6"/>
    </row>
    <row r="68" spans="14:21" customFormat="1" x14ac:dyDescent="0.35">
      <c r="N68" s="4"/>
      <c r="R68" s="5"/>
      <c r="T68" s="6"/>
      <c r="U68" s="6"/>
    </row>
    <row r="69" spans="14:21" customFormat="1" x14ac:dyDescent="0.35">
      <c r="N69" s="4"/>
      <c r="R69" s="5"/>
      <c r="T69" s="6"/>
      <c r="U69" s="6"/>
    </row>
    <row r="70" spans="14:21" customFormat="1" x14ac:dyDescent="0.35">
      <c r="N70" s="4"/>
      <c r="R70" s="5"/>
      <c r="T70" s="6"/>
      <c r="U70" s="6"/>
    </row>
    <row r="71" spans="14:21" customFormat="1" x14ac:dyDescent="0.35">
      <c r="N71" s="4"/>
      <c r="R71" s="5"/>
      <c r="T71" s="6"/>
      <c r="U71" s="6"/>
    </row>
  </sheetData>
  <conditionalFormatting sqref="AB15:AB29">
    <cfRule type="duplicateValues" dxfId="7" priority="8"/>
  </conditionalFormatting>
  <conditionalFormatting sqref="B3:B21">
    <cfRule type="duplicateValues" dxfId="6" priority="7"/>
  </conditionalFormatting>
  <conditionalFormatting sqref="N3:N41">
    <cfRule type="duplicateValues" dxfId="5" priority="6"/>
  </conditionalFormatting>
  <conditionalFormatting sqref="AN3:AN33">
    <cfRule type="duplicateValues" dxfId="4" priority="5"/>
  </conditionalFormatting>
  <conditionalFormatting sqref="BA3:BA30">
    <cfRule type="duplicateValues" dxfId="3" priority="4"/>
  </conditionalFormatting>
  <conditionalFormatting sqref="N42:N43">
    <cfRule type="duplicateValues" dxfId="2" priority="3"/>
  </conditionalFormatting>
  <conditionalFormatting sqref="AN34:AN46">
    <cfRule type="duplicateValues" dxfId="1" priority="2"/>
  </conditionalFormatting>
  <conditionalFormatting sqref="BA31:BA47">
    <cfRule type="duplicateValues" dxfId="0" priority="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EEEF-50E4-45E5-8C1F-85419C51018A}">
  <dimension ref="A1:C425"/>
  <sheetViews>
    <sheetView topLeftCell="A81" workbookViewId="0">
      <selection activeCell="A2" sqref="A2"/>
    </sheetView>
  </sheetViews>
  <sheetFormatPr defaultRowHeight="14.5" x14ac:dyDescent="0.35"/>
  <cols>
    <col min="2" max="2" width="11.81640625" style="112" customWidth="1"/>
    <col min="3" max="3" width="24.81640625" bestFit="1" customWidth="1"/>
  </cols>
  <sheetData>
    <row r="1" spans="1:3" x14ac:dyDescent="0.35">
      <c r="A1" t="s">
        <v>1003</v>
      </c>
      <c r="B1" s="112" t="s">
        <v>1004</v>
      </c>
      <c r="C1" t="s">
        <v>1005</v>
      </c>
    </row>
    <row r="2" spans="1:3" x14ac:dyDescent="0.35">
      <c r="A2" t="s">
        <v>1012</v>
      </c>
      <c r="B2" s="112">
        <v>1.8807</v>
      </c>
      <c r="C2" t="s">
        <v>1013</v>
      </c>
    </row>
    <row r="3" spans="1:3" x14ac:dyDescent="0.35">
      <c r="A3" t="s">
        <v>1014</v>
      </c>
      <c r="B3" s="112">
        <v>2.5442</v>
      </c>
      <c r="C3" t="s">
        <v>1015</v>
      </c>
    </row>
    <row r="4" spans="1:3" x14ac:dyDescent="0.35">
      <c r="A4" t="s">
        <v>1052</v>
      </c>
      <c r="B4" s="112">
        <v>18.1525</v>
      </c>
      <c r="C4" t="s">
        <v>1053</v>
      </c>
    </row>
    <row r="5" spans="1:3" x14ac:dyDescent="0.35">
      <c r="A5" t="s">
        <v>128</v>
      </c>
      <c r="B5" s="112">
        <v>5.0885999999999996</v>
      </c>
      <c r="C5" t="s">
        <v>129</v>
      </c>
    </row>
    <row r="6" spans="1:3" x14ac:dyDescent="0.35">
      <c r="A6" t="s">
        <v>130</v>
      </c>
      <c r="B6" s="112">
        <v>12.7225</v>
      </c>
      <c r="C6" t="s">
        <v>131</v>
      </c>
    </row>
    <row r="7" spans="1:3" x14ac:dyDescent="0.35">
      <c r="A7" t="s">
        <v>57</v>
      </c>
      <c r="B7" s="112">
        <v>21.6646</v>
      </c>
      <c r="C7" t="s">
        <v>58</v>
      </c>
    </row>
    <row r="8" spans="1:3" x14ac:dyDescent="0.35">
      <c r="A8" t="s">
        <v>136</v>
      </c>
      <c r="B8" s="112">
        <v>9.1594999999999995</v>
      </c>
      <c r="C8" t="s">
        <v>137</v>
      </c>
    </row>
    <row r="9" spans="1:3" x14ac:dyDescent="0.35">
      <c r="A9" t="s">
        <v>1016</v>
      </c>
      <c r="B9" s="112">
        <v>3.8166000000000002</v>
      </c>
      <c r="C9" t="s">
        <v>1017</v>
      </c>
    </row>
    <row r="10" spans="1:3" x14ac:dyDescent="0.35">
      <c r="A10" t="s">
        <v>59</v>
      </c>
      <c r="B10" s="112">
        <v>28.094799999999999</v>
      </c>
      <c r="C10" t="s">
        <v>60</v>
      </c>
    </row>
    <row r="11" spans="1:3" x14ac:dyDescent="0.35">
      <c r="A11" t="s">
        <v>61</v>
      </c>
      <c r="B11" s="112">
        <v>32.779699999999998</v>
      </c>
      <c r="C11" t="s">
        <v>62</v>
      </c>
    </row>
    <row r="12" spans="1:3" x14ac:dyDescent="0.35">
      <c r="A12" t="s">
        <v>11</v>
      </c>
      <c r="B12" s="112">
        <v>0.50890000000000002</v>
      </c>
      <c r="C12" t="s">
        <v>12</v>
      </c>
    </row>
    <row r="13" spans="1:3" x14ac:dyDescent="0.35">
      <c r="A13" t="s">
        <v>23</v>
      </c>
      <c r="B13" s="112">
        <v>4.391</v>
      </c>
      <c r="C13" t="s">
        <v>24</v>
      </c>
    </row>
    <row r="14" spans="1:3" x14ac:dyDescent="0.35">
      <c r="A14" t="s">
        <v>63</v>
      </c>
      <c r="B14" s="112">
        <v>37.460599999999999</v>
      </c>
      <c r="C14" t="s">
        <v>64</v>
      </c>
    </row>
    <row r="15" spans="1:3" x14ac:dyDescent="0.35">
      <c r="A15" t="s">
        <v>1038</v>
      </c>
      <c r="B15" s="112">
        <v>25.444800000000001</v>
      </c>
      <c r="C15" t="s">
        <v>1039</v>
      </c>
    </row>
    <row r="16" spans="1:3" x14ac:dyDescent="0.35">
      <c r="A16" t="s">
        <v>138</v>
      </c>
      <c r="B16" s="112">
        <v>18.3141</v>
      </c>
      <c r="C16" t="s">
        <v>139</v>
      </c>
    </row>
    <row r="17" spans="1:3" x14ac:dyDescent="0.35">
      <c r="A17" t="s">
        <v>25</v>
      </c>
      <c r="B17" s="112">
        <v>5.4886999999999997</v>
      </c>
      <c r="C17" t="s">
        <v>26</v>
      </c>
    </row>
    <row r="18" spans="1:3" x14ac:dyDescent="0.35">
      <c r="A18" t="s">
        <v>13</v>
      </c>
      <c r="B18" s="112">
        <v>0.7369</v>
      </c>
      <c r="C18" t="s">
        <v>14</v>
      </c>
    </row>
    <row r="19" spans="1:3" x14ac:dyDescent="0.35">
      <c r="A19" t="s">
        <v>88</v>
      </c>
      <c r="B19" s="112">
        <v>16.133299999999998</v>
      </c>
      <c r="C19" t="s">
        <v>89</v>
      </c>
    </row>
    <row r="20" spans="1:3" x14ac:dyDescent="0.35">
      <c r="A20" t="s">
        <v>1006</v>
      </c>
      <c r="B20" s="112">
        <v>0.7631</v>
      </c>
      <c r="C20" t="s">
        <v>1007</v>
      </c>
    </row>
    <row r="21" spans="1:3" x14ac:dyDescent="0.35">
      <c r="A21" t="s">
        <v>69</v>
      </c>
      <c r="B21" s="112">
        <v>53.798900000000003</v>
      </c>
      <c r="C21" t="s">
        <v>70</v>
      </c>
    </row>
    <row r="22" spans="1:3" x14ac:dyDescent="0.35">
      <c r="A22" t="s">
        <v>31</v>
      </c>
      <c r="B22" s="112">
        <v>7.5279999999999996</v>
      </c>
      <c r="C22" t="s">
        <v>32</v>
      </c>
    </row>
    <row r="23" spans="1:3" x14ac:dyDescent="0.35">
      <c r="A23" t="s">
        <v>1018</v>
      </c>
      <c r="B23" s="112">
        <v>8.0670999999999999</v>
      </c>
      <c r="C23" t="s">
        <v>1019</v>
      </c>
    </row>
    <row r="24" spans="1:3" x14ac:dyDescent="0.35">
      <c r="A24" t="s">
        <v>94</v>
      </c>
      <c r="B24" s="112">
        <v>1.5266</v>
      </c>
      <c r="C24" t="s">
        <v>95</v>
      </c>
    </row>
    <row r="25" spans="1:3" x14ac:dyDescent="0.35">
      <c r="A25" t="s">
        <v>96</v>
      </c>
      <c r="B25" s="112">
        <v>13.1723</v>
      </c>
      <c r="C25" t="s">
        <v>97</v>
      </c>
    </row>
    <row r="26" spans="1:3" x14ac:dyDescent="0.35">
      <c r="A26" t="s">
        <v>98</v>
      </c>
      <c r="B26" s="112">
        <v>24.200500000000002</v>
      </c>
      <c r="C26" t="s">
        <v>99</v>
      </c>
    </row>
    <row r="27" spans="1:3" x14ac:dyDescent="0.35">
      <c r="A27" t="s">
        <v>1008</v>
      </c>
      <c r="B27" s="112">
        <v>1.0175000000000001</v>
      </c>
      <c r="C27" t="s">
        <v>1009</v>
      </c>
    </row>
    <row r="28" spans="1:3" x14ac:dyDescent="0.35">
      <c r="A28" t="s">
        <v>37</v>
      </c>
      <c r="B28" s="112">
        <v>9.8796999999999997</v>
      </c>
      <c r="C28" t="s">
        <v>38</v>
      </c>
    </row>
    <row r="29" spans="1:3" x14ac:dyDescent="0.35">
      <c r="A29" t="s">
        <v>106</v>
      </c>
      <c r="B29" s="112">
        <v>17.563700000000001</v>
      </c>
      <c r="C29" t="s">
        <v>107</v>
      </c>
    </row>
    <row r="30" spans="1:3" x14ac:dyDescent="0.35">
      <c r="A30" t="s">
        <v>108</v>
      </c>
      <c r="B30" s="112">
        <v>2.5442</v>
      </c>
      <c r="C30" t="s">
        <v>109</v>
      </c>
    </row>
    <row r="31" spans="1:3" x14ac:dyDescent="0.35">
      <c r="A31" t="s">
        <v>110</v>
      </c>
      <c r="B31" s="112">
        <v>3.0531000000000001</v>
      </c>
      <c r="C31" t="s">
        <v>111</v>
      </c>
    </row>
    <row r="32" spans="1:3" x14ac:dyDescent="0.35">
      <c r="A32" t="s">
        <v>112</v>
      </c>
      <c r="B32" s="112">
        <v>5.0891000000000002</v>
      </c>
      <c r="C32" t="s">
        <v>113</v>
      </c>
    </row>
    <row r="33" spans="1:3" x14ac:dyDescent="0.35">
      <c r="A33" t="s">
        <v>114</v>
      </c>
      <c r="B33" s="112">
        <v>7.2533000000000003</v>
      </c>
      <c r="C33" t="s">
        <v>115</v>
      </c>
    </row>
    <row r="34" spans="1:3" x14ac:dyDescent="0.35">
      <c r="A34" t="s">
        <v>1010</v>
      </c>
      <c r="B34" s="112">
        <v>1.2723</v>
      </c>
      <c r="C34" t="s">
        <v>1011</v>
      </c>
    </row>
    <row r="35" spans="1:3" x14ac:dyDescent="0.35">
      <c r="A35" t="s">
        <v>1030</v>
      </c>
      <c r="B35" s="112">
        <v>10.7546</v>
      </c>
      <c r="C35" t="s">
        <v>1031</v>
      </c>
    </row>
    <row r="36" spans="1:3" x14ac:dyDescent="0.35">
      <c r="A36" t="s">
        <v>85</v>
      </c>
      <c r="B36" s="112">
        <v>87.739699999999999</v>
      </c>
      <c r="C36" t="s">
        <v>86</v>
      </c>
    </row>
    <row r="37" spans="1:3" x14ac:dyDescent="0.35">
      <c r="A37" t="s">
        <v>118</v>
      </c>
      <c r="B37" s="112">
        <v>6.3613</v>
      </c>
      <c r="C37" t="s">
        <v>119</v>
      </c>
    </row>
    <row r="38" spans="1:3" x14ac:dyDescent="0.35">
      <c r="A38" t="s">
        <v>43</v>
      </c>
      <c r="B38" s="112">
        <v>13.306800000000001</v>
      </c>
      <c r="C38" t="s">
        <v>44</v>
      </c>
    </row>
    <row r="39" spans="1:3" x14ac:dyDescent="0.35">
      <c r="A39" t="s">
        <v>124</v>
      </c>
      <c r="B39" s="112">
        <v>4.5797999999999996</v>
      </c>
      <c r="C39" t="s">
        <v>125</v>
      </c>
    </row>
    <row r="40" spans="1:3" x14ac:dyDescent="0.35">
      <c r="A40" t="s">
        <v>1040</v>
      </c>
      <c r="B40" s="112">
        <v>13.6996</v>
      </c>
      <c r="C40" t="s">
        <v>1041</v>
      </c>
    </row>
    <row r="41" spans="1:3" x14ac:dyDescent="0.35">
      <c r="A41" t="s">
        <v>1042</v>
      </c>
      <c r="B41" s="112">
        <v>13.893700000000001</v>
      </c>
      <c r="C41" t="s">
        <v>1043</v>
      </c>
    </row>
    <row r="42" spans="1:3" x14ac:dyDescent="0.35">
      <c r="A42" t="s">
        <v>1044</v>
      </c>
      <c r="B42" s="112">
        <v>14.6782</v>
      </c>
      <c r="C42" t="s">
        <v>1045</v>
      </c>
    </row>
    <row r="43" spans="1:3" x14ac:dyDescent="0.35">
      <c r="A43" t="s">
        <v>871</v>
      </c>
      <c r="B43" s="112">
        <v>5.7293000000000003</v>
      </c>
      <c r="C43" t="s">
        <v>872</v>
      </c>
    </row>
    <row r="44" spans="1:3" x14ac:dyDescent="0.35">
      <c r="A44" t="s">
        <v>273</v>
      </c>
      <c r="B44" s="112">
        <v>0.314</v>
      </c>
      <c r="C44" t="s">
        <v>274</v>
      </c>
    </row>
    <row r="45" spans="1:3" x14ac:dyDescent="0.35">
      <c r="A45" t="s">
        <v>381</v>
      </c>
      <c r="B45" s="112">
        <v>3.1398000000000001</v>
      </c>
      <c r="C45" t="s">
        <v>382</v>
      </c>
    </row>
    <row r="46" spans="1:3" x14ac:dyDescent="0.35">
      <c r="A46" t="s">
        <v>891</v>
      </c>
      <c r="B46" s="112">
        <v>21.7044</v>
      </c>
      <c r="C46" t="s">
        <v>892</v>
      </c>
    </row>
    <row r="47" spans="1:3" x14ac:dyDescent="0.35">
      <c r="A47" t="s">
        <v>383</v>
      </c>
      <c r="B47" s="112">
        <v>3.5792999999999999</v>
      </c>
      <c r="C47" t="s">
        <v>384</v>
      </c>
    </row>
    <row r="48" spans="1:3" x14ac:dyDescent="0.35">
      <c r="A48" t="s">
        <v>351</v>
      </c>
      <c r="B48" s="112">
        <v>6.7129000000000003</v>
      </c>
      <c r="C48" t="s">
        <v>352</v>
      </c>
    </row>
    <row r="49" spans="1:3" x14ac:dyDescent="0.35">
      <c r="A49" t="s">
        <v>355</v>
      </c>
      <c r="B49" s="112">
        <v>9.5376999999999992</v>
      </c>
      <c r="C49" t="s">
        <v>356</v>
      </c>
    </row>
    <row r="50" spans="1:3" x14ac:dyDescent="0.35">
      <c r="A50" t="s">
        <v>359</v>
      </c>
      <c r="B50" s="112">
        <v>13.3203</v>
      </c>
      <c r="C50" t="s">
        <v>360</v>
      </c>
    </row>
    <row r="51" spans="1:3" x14ac:dyDescent="0.35">
      <c r="A51" t="s">
        <v>363</v>
      </c>
      <c r="B51" s="112">
        <v>10.259399999999999</v>
      </c>
      <c r="C51" t="s">
        <v>364</v>
      </c>
    </row>
    <row r="52" spans="1:3" x14ac:dyDescent="0.35">
      <c r="A52" t="s">
        <v>869</v>
      </c>
      <c r="B52" s="112">
        <v>11.561500000000001</v>
      </c>
      <c r="C52" t="s">
        <v>870</v>
      </c>
    </row>
    <row r="53" spans="1:3" x14ac:dyDescent="0.35">
      <c r="A53" t="s">
        <v>881</v>
      </c>
      <c r="B53" s="112">
        <v>12.3161</v>
      </c>
      <c r="C53" t="s">
        <v>882</v>
      </c>
    </row>
    <row r="54" spans="1:3" x14ac:dyDescent="0.35">
      <c r="A54" t="s">
        <v>385</v>
      </c>
      <c r="B54" s="112">
        <v>4.2343000000000002</v>
      </c>
      <c r="C54" t="s">
        <v>386</v>
      </c>
    </row>
    <row r="55" spans="1:3" x14ac:dyDescent="0.35">
      <c r="A55" t="s">
        <v>885</v>
      </c>
      <c r="B55" s="112">
        <v>12.824199999999999</v>
      </c>
      <c r="C55" t="s">
        <v>886</v>
      </c>
    </row>
    <row r="56" spans="1:3" x14ac:dyDescent="0.35">
      <c r="A56" t="s">
        <v>387</v>
      </c>
      <c r="B56" s="112">
        <v>4.2199</v>
      </c>
      <c r="C56" t="s">
        <v>388</v>
      </c>
    </row>
    <row r="57" spans="1:3" x14ac:dyDescent="0.35">
      <c r="A57" t="s">
        <v>277</v>
      </c>
      <c r="B57" s="112">
        <v>0.60860000000000003</v>
      </c>
      <c r="C57" t="s">
        <v>278</v>
      </c>
    </row>
    <row r="58" spans="1:3" x14ac:dyDescent="0.35">
      <c r="A58" t="s">
        <v>389</v>
      </c>
      <c r="B58" s="112">
        <v>4.3297999999999996</v>
      </c>
      <c r="C58" t="s">
        <v>390</v>
      </c>
    </row>
    <row r="59" spans="1:3" x14ac:dyDescent="0.35">
      <c r="A59" t="s">
        <v>893</v>
      </c>
      <c r="B59" s="112">
        <v>41.238100000000003</v>
      </c>
      <c r="C59" t="s">
        <v>894</v>
      </c>
    </row>
    <row r="60" spans="1:3" x14ac:dyDescent="0.35">
      <c r="A60" t="s">
        <v>397</v>
      </c>
      <c r="B60" s="112">
        <v>42.323599999999999</v>
      </c>
      <c r="C60" t="s">
        <v>398</v>
      </c>
    </row>
    <row r="61" spans="1:3" x14ac:dyDescent="0.35">
      <c r="A61" t="s">
        <v>281</v>
      </c>
      <c r="B61" s="112">
        <v>0.6512</v>
      </c>
      <c r="C61" t="s">
        <v>282</v>
      </c>
    </row>
    <row r="62" spans="1:3" x14ac:dyDescent="0.35">
      <c r="A62" t="s">
        <v>391</v>
      </c>
      <c r="B62" s="112">
        <v>4.3407999999999998</v>
      </c>
      <c r="C62" t="s">
        <v>392</v>
      </c>
    </row>
    <row r="63" spans="1:3" x14ac:dyDescent="0.35">
      <c r="A63" t="s">
        <v>399</v>
      </c>
      <c r="B63" s="112">
        <v>43.409199999999998</v>
      </c>
      <c r="C63" t="s">
        <v>400</v>
      </c>
    </row>
    <row r="64" spans="1:3" x14ac:dyDescent="0.35">
      <c r="A64" t="s">
        <v>285</v>
      </c>
      <c r="B64" s="112">
        <v>0.77100000000000002</v>
      </c>
      <c r="C64" t="s">
        <v>286</v>
      </c>
    </row>
    <row r="65" spans="1:3" x14ac:dyDescent="0.35">
      <c r="A65" t="s">
        <v>367</v>
      </c>
      <c r="B65" s="112">
        <v>19.0731</v>
      </c>
      <c r="C65" t="s">
        <v>368</v>
      </c>
    </row>
    <row r="66" spans="1:3" x14ac:dyDescent="0.35">
      <c r="A66" t="s">
        <v>979</v>
      </c>
      <c r="B66" s="112">
        <v>19.7088</v>
      </c>
      <c r="C66" t="s">
        <v>980</v>
      </c>
    </row>
    <row r="67" spans="1:3" x14ac:dyDescent="0.35">
      <c r="A67" t="s">
        <v>371</v>
      </c>
      <c r="B67" s="112">
        <v>20.5184</v>
      </c>
      <c r="C67" t="s">
        <v>372</v>
      </c>
    </row>
    <row r="68" spans="1:3" x14ac:dyDescent="0.35">
      <c r="A68" t="s">
        <v>375</v>
      </c>
      <c r="B68" s="112">
        <v>23.119399999999999</v>
      </c>
      <c r="C68" t="s">
        <v>376</v>
      </c>
    </row>
    <row r="69" spans="1:3" x14ac:dyDescent="0.35">
      <c r="A69" t="s">
        <v>883</v>
      </c>
      <c r="B69" s="112">
        <v>24.632200000000001</v>
      </c>
      <c r="C69" t="s">
        <v>884</v>
      </c>
    </row>
    <row r="70" spans="1:3" x14ac:dyDescent="0.35">
      <c r="A70" t="s">
        <v>289</v>
      </c>
      <c r="B70" s="112">
        <v>0.81359999999999999</v>
      </c>
      <c r="C70" t="s">
        <v>290</v>
      </c>
    </row>
    <row r="71" spans="1:3" x14ac:dyDescent="0.35">
      <c r="A71" t="s">
        <v>401</v>
      </c>
      <c r="B71" s="112">
        <v>54.259700000000002</v>
      </c>
      <c r="C71" t="s">
        <v>402</v>
      </c>
    </row>
    <row r="72" spans="1:3" x14ac:dyDescent="0.35">
      <c r="A72" t="s">
        <v>293</v>
      </c>
      <c r="B72" s="112">
        <v>0.87890000000000001</v>
      </c>
      <c r="C72" t="s">
        <v>294</v>
      </c>
    </row>
    <row r="73" spans="1:3" x14ac:dyDescent="0.35">
      <c r="A73" t="s">
        <v>297</v>
      </c>
      <c r="B73" s="112">
        <v>0.89510000000000001</v>
      </c>
      <c r="C73" t="s">
        <v>298</v>
      </c>
    </row>
    <row r="74" spans="1:3" x14ac:dyDescent="0.35">
      <c r="A74" t="s">
        <v>889</v>
      </c>
      <c r="B74" s="112">
        <v>63.659500000000001</v>
      </c>
      <c r="C74" t="s">
        <v>890</v>
      </c>
    </row>
    <row r="75" spans="1:3" x14ac:dyDescent="0.35">
      <c r="A75" t="s">
        <v>301</v>
      </c>
      <c r="B75" s="112">
        <v>0.91830000000000001</v>
      </c>
      <c r="C75" t="s">
        <v>302</v>
      </c>
    </row>
    <row r="76" spans="1:3" x14ac:dyDescent="0.35">
      <c r="A76" t="s">
        <v>271</v>
      </c>
      <c r="B76" s="112">
        <v>1.7901</v>
      </c>
      <c r="C76" t="s">
        <v>272</v>
      </c>
    </row>
    <row r="77" spans="1:3" x14ac:dyDescent="0.35">
      <c r="A77" t="s">
        <v>305</v>
      </c>
      <c r="B77" s="112">
        <v>0.93049999999999999</v>
      </c>
      <c r="C77" t="s">
        <v>306</v>
      </c>
    </row>
    <row r="78" spans="1:3" x14ac:dyDescent="0.35">
      <c r="A78" t="s">
        <v>393</v>
      </c>
      <c r="B78" s="112">
        <v>6.5114000000000001</v>
      </c>
      <c r="C78" t="s">
        <v>394</v>
      </c>
    </row>
    <row r="79" spans="1:3" x14ac:dyDescent="0.35">
      <c r="A79" t="s">
        <v>403</v>
      </c>
      <c r="B79" s="112">
        <v>65.113799999999998</v>
      </c>
      <c r="C79" t="s">
        <v>404</v>
      </c>
    </row>
    <row r="80" spans="1:3" x14ac:dyDescent="0.35">
      <c r="A80" t="s">
        <v>309</v>
      </c>
      <c r="B80" s="112">
        <v>1.0744</v>
      </c>
      <c r="C80" t="s">
        <v>310</v>
      </c>
    </row>
    <row r="81" spans="1:3" x14ac:dyDescent="0.35">
      <c r="A81" t="s">
        <v>313</v>
      </c>
      <c r="B81" s="112">
        <v>1.0837000000000001</v>
      </c>
      <c r="C81" t="s">
        <v>314</v>
      </c>
    </row>
    <row r="82" spans="1:3" x14ac:dyDescent="0.35">
      <c r="A82" t="s">
        <v>317</v>
      </c>
      <c r="B82" s="112">
        <v>1.1100000000000001</v>
      </c>
      <c r="C82" t="s">
        <v>318</v>
      </c>
    </row>
    <row r="83" spans="1:3" x14ac:dyDescent="0.35">
      <c r="A83" t="s">
        <v>321</v>
      </c>
      <c r="B83" s="112">
        <v>1.1557999999999999</v>
      </c>
      <c r="C83" t="s">
        <v>322</v>
      </c>
    </row>
    <row r="84" spans="1:3" x14ac:dyDescent="0.35">
      <c r="A84" t="s">
        <v>325</v>
      </c>
      <c r="B84" s="112">
        <v>1.1719999999999999</v>
      </c>
      <c r="C84" t="s">
        <v>326</v>
      </c>
    </row>
    <row r="85" spans="1:3" x14ac:dyDescent="0.35">
      <c r="A85" t="s">
        <v>887</v>
      </c>
      <c r="B85" s="112">
        <v>1.2051000000000001</v>
      </c>
      <c r="C85" t="s">
        <v>888</v>
      </c>
    </row>
    <row r="86" spans="1:3" x14ac:dyDescent="0.35">
      <c r="A86" t="s">
        <v>329</v>
      </c>
      <c r="B86" s="112">
        <v>1.2213000000000001</v>
      </c>
      <c r="C86" t="s">
        <v>330</v>
      </c>
    </row>
    <row r="87" spans="1:3" x14ac:dyDescent="0.35">
      <c r="A87" t="s">
        <v>333</v>
      </c>
      <c r="B87" s="112">
        <v>1.3019000000000001</v>
      </c>
      <c r="C87" t="s">
        <v>334</v>
      </c>
    </row>
    <row r="88" spans="1:3" x14ac:dyDescent="0.35">
      <c r="A88" t="s">
        <v>395</v>
      </c>
      <c r="B88" s="112">
        <v>8.6818000000000008</v>
      </c>
      <c r="C88" t="s">
        <v>396</v>
      </c>
    </row>
    <row r="89" spans="1:3" x14ac:dyDescent="0.35">
      <c r="A89" t="s">
        <v>337</v>
      </c>
      <c r="B89" s="112">
        <v>1.4323999999999999</v>
      </c>
      <c r="C89" t="s">
        <v>338</v>
      </c>
    </row>
    <row r="90" spans="1:3" x14ac:dyDescent="0.35">
      <c r="A90" t="s">
        <v>341</v>
      </c>
      <c r="B90" s="112">
        <v>1.4916</v>
      </c>
      <c r="C90" t="s">
        <v>342</v>
      </c>
    </row>
    <row r="91" spans="1:3" x14ac:dyDescent="0.35">
      <c r="A91" t="s">
        <v>345</v>
      </c>
      <c r="B91" s="112">
        <v>1.5405</v>
      </c>
      <c r="C91" t="s">
        <v>346</v>
      </c>
    </row>
    <row r="92" spans="1:3" x14ac:dyDescent="0.35">
      <c r="A92" t="s">
        <v>873</v>
      </c>
      <c r="B92" s="112">
        <v>1.8835999999999999</v>
      </c>
      <c r="C92" t="s">
        <v>874</v>
      </c>
    </row>
    <row r="93" spans="1:3" x14ac:dyDescent="0.35">
      <c r="A93" t="s">
        <v>275</v>
      </c>
      <c r="B93" s="112">
        <v>3.2544</v>
      </c>
      <c r="C93" t="s">
        <v>276</v>
      </c>
    </row>
    <row r="94" spans="1:3" x14ac:dyDescent="0.35">
      <c r="A94" t="s">
        <v>875</v>
      </c>
      <c r="B94" s="112">
        <v>3.5154999999999998</v>
      </c>
      <c r="C94" t="s">
        <v>876</v>
      </c>
    </row>
    <row r="95" spans="1:3" x14ac:dyDescent="0.35">
      <c r="A95" t="s">
        <v>279</v>
      </c>
      <c r="B95" s="112">
        <v>3.5806</v>
      </c>
      <c r="C95" t="s">
        <v>280</v>
      </c>
    </row>
    <row r="96" spans="1:3" x14ac:dyDescent="0.35">
      <c r="A96" t="s">
        <v>283</v>
      </c>
      <c r="B96" s="112">
        <v>3.907</v>
      </c>
      <c r="C96" t="s">
        <v>284</v>
      </c>
    </row>
    <row r="97" spans="1:3" x14ac:dyDescent="0.35">
      <c r="A97" t="s">
        <v>287</v>
      </c>
      <c r="B97" s="112">
        <v>3.7258</v>
      </c>
      <c r="C97" t="s">
        <v>288</v>
      </c>
    </row>
    <row r="98" spans="1:3" x14ac:dyDescent="0.35">
      <c r="A98" t="s">
        <v>291</v>
      </c>
      <c r="B98" s="112">
        <v>3.7601</v>
      </c>
      <c r="C98" t="s">
        <v>292</v>
      </c>
    </row>
    <row r="99" spans="1:3" x14ac:dyDescent="0.35">
      <c r="A99" t="s">
        <v>295</v>
      </c>
      <c r="B99" s="112">
        <v>3.8393000000000002</v>
      </c>
      <c r="C99" t="s">
        <v>296</v>
      </c>
    </row>
    <row r="100" spans="1:3" x14ac:dyDescent="0.35">
      <c r="A100" t="s">
        <v>299</v>
      </c>
      <c r="B100" s="112">
        <v>3.8498999999999999</v>
      </c>
      <c r="C100" t="s">
        <v>300</v>
      </c>
    </row>
    <row r="101" spans="1:3" x14ac:dyDescent="0.35">
      <c r="A101" t="s">
        <v>303</v>
      </c>
      <c r="B101" s="112">
        <v>4.008</v>
      </c>
      <c r="C101" t="s">
        <v>304</v>
      </c>
    </row>
    <row r="102" spans="1:3" x14ac:dyDescent="0.35">
      <c r="A102" t="s">
        <v>307</v>
      </c>
      <c r="B102" s="112">
        <v>5.2961999999999998</v>
      </c>
      <c r="C102" t="s">
        <v>308</v>
      </c>
    </row>
    <row r="103" spans="1:3" x14ac:dyDescent="0.35">
      <c r="A103" t="s">
        <v>311</v>
      </c>
      <c r="B103" s="112">
        <v>4.1054000000000004</v>
      </c>
      <c r="C103" t="s">
        <v>312</v>
      </c>
    </row>
    <row r="104" spans="1:3" x14ac:dyDescent="0.35">
      <c r="A104" t="s">
        <v>315</v>
      </c>
      <c r="B104" s="112">
        <v>5.0370999999999997</v>
      </c>
      <c r="C104" t="s">
        <v>316</v>
      </c>
    </row>
    <row r="105" spans="1:3" x14ac:dyDescent="0.35">
      <c r="A105" t="s">
        <v>269</v>
      </c>
      <c r="B105" s="112">
        <v>0.16270000000000001</v>
      </c>
      <c r="C105" t="s">
        <v>270</v>
      </c>
    </row>
    <row r="106" spans="1:3" x14ac:dyDescent="0.35">
      <c r="A106" t="s">
        <v>349</v>
      </c>
      <c r="B106" s="112">
        <v>1.5698000000000001</v>
      </c>
      <c r="C106" t="s">
        <v>350</v>
      </c>
    </row>
    <row r="107" spans="1:3" x14ac:dyDescent="0.35">
      <c r="A107" t="s">
        <v>405</v>
      </c>
      <c r="B107" s="112">
        <v>108.53440000000001</v>
      </c>
      <c r="C107" t="s">
        <v>406</v>
      </c>
    </row>
    <row r="108" spans="1:3" x14ac:dyDescent="0.35">
      <c r="A108" t="s">
        <v>407</v>
      </c>
      <c r="B108" s="112">
        <v>122.80459999999999</v>
      </c>
      <c r="C108" t="s">
        <v>408</v>
      </c>
    </row>
    <row r="109" spans="1:3" x14ac:dyDescent="0.35">
      <c r="A109" t="s">
        <v>409</v>
      </c>
      <c r="B109" s="112">
        <v>123.0141</v>
      </c>
      <c r="C109" t="s">
        <v>410</v>
      </c>
    </row>
    <row r="110" spans="1:3" x14ac:dyDescent="0.35">
      <c r="A110" t="s">
        <v>353</v>
      </c>
      <c r="B110" s="112">
        <v>2.0407999999999999</v>
      </c>
      <c r="C110" t="s">
        <v>354</v>
      </c>
    </row>
    <row r="111" spans="1:3" x14ac:dyDescent="0.35">
      <c r="A111" t="s">
        <v>357</v>
      </c>
      <c r="B111" s="112">
        <v>2.1476999999999999</v>
      </c>
      <c r="C111" t="s">
        <v>358</v>
      </c>
    </row>
    <row r="112" spans="1:3" x14ac:dyDescent="0.35">
      <c r="A112" t="s">
        <v>319</v>
      </c>
      <c r="B112" s="112">
        <v>4.2973999999999997</v>
      </c>
      <c r="C112" t="s">
        <v>320</v>
      </c>
    </row>
    <row r="113" spans="1:3" x14ac:dyDescent="0.35">
      <c r="A113" t="s">
        <v>323</v>
      </c>
      <c r="B113" s="112">
        <v>4.9275000000000002</v>
      </c>
      <c r="C113" t="s">
        <v>324</v>
      </c>
    </row>
    <row r="114" spans="1:3" x14ac:dyDescent="0.35">
      <c r="A114" t="s">
        <v>327</v>
      </c>
      <c r="B114" s="112">
        <v>5.1295999999999999</v>
      </c>
      <c r="C114" t="s">
        <v>328</v>
      </c>
    </row>
    <row r="115" spans="1:3" x14ac:dyDescent="0.35">
      <c r="A115" t="s">
        <v>879</v>
      </c>
      <c r="B115" s="112">
        <v>6.1580000000000004</v>
      </c>
      <c r="C115" t="s">
        <v>880</v>
      </c>
    </row>
    <row r="116" spans="1:3" x14ac:dyDescent="0.35">
      <c r="A116" t="s">
        <v>361</v>
      </c>
      <c r="B116" s="112">
        <v>2.1979000000000002</v>
      </c>
      <c r="C116" t="s">
        <v>362</v>
      </c>
    </row>
    <row r="117" spans="1:3" x14ac:dyDescent="0.35">
      <c r="A117" t="s">
        <v>365</v>
      </c>
      <c r="B117" s="112">
        <v>2.218</v>
      </c>
      <c r="C117" t="s">
        <v>366</v>
      </c>
    </row>
    <row r="118" spans="1:3" x14ac:dyDescent="0.35">
      <c r="A118" t="s">
        <v>369</v>
      </c>
      <c r="B118" s="112">
        <v>2.2597</v>
      </c>
      <c r="C118" t="s">
        <v>370</v>
      </c>
    </row>
    <row r="119" spans="1:3" x14ac:dyDescent="0.35">
      <c r="A119" t="s">
        <v>373</v>
      </c>
      <c r="B119" s="112">
        <v>2.3548</v>
      </c>
      <c r="C119" t="s">
        <v>374</v>
      </c>
    </row>
    <row r="120" spans="1:3" x14ac:dyDescent="0.35">
      <c r="A120" t="s">
        <v>331</v>
      </c>
      <c r="B120" s="112">
        <v>6.2577999999999996</v>
      </c>
      <c r="C120" t="s">
        <v>332</v>
      </c>
    </row>
    <row r="121" spans="1:3" x14ac:dyDescent="0.35">
      <c r="A121" t="s">
        <v>335</v>
      </c>
      <c r="B121" s="112">
        <v>5.9204999999999997</v>
      </c>
      <c r="C121" t="s">
        <v>336</v>
      </c>
    </row>
    <row r="122" spans="1:3" x14ac:dyDescent="0.35">
      <c r="A122" t="s">
        <v>339</v>
      </c>
      <c r="B122" s="112">
        <v>6.7320000000000002</v>
      </c>
      <c r="C122" t="s">
        <v>340</v>
      </c>
    </row>
    <row r="123" spans="1:3" x14ac:dyDescent="0.35">
      <c r="A123" t="s">
        <v>343</v>
      </c>
      <c r="B123" s="112">
        <v>8.4783000000000008</v>
      </c>
      <c r="C123" t="s">
        <v>344</v>
      </c>
    </row>
    <row r="124" spans="1:3" x14ac:dyDescent="0.35">
      <c r="A124" t="s">
        <v>877</v>
      </c>
      <c r="B124" s="112">
        <v>8.2106999999999992</v>
      </c>
      <c r="C124" t="s">
        <v>878</v>
      </c>
    </row>
    <row r="125" spans="1:3" x14ac:dyDescent="0.35">
      <c r="A125" t="s">
        <v>347</v>
      </c>
      <c r="B125" s="112">
        <v>9.6346000000000007</v>
      </c>
      <c r="C125" t="s">
        <v>348</v>
      </c>
    </row>
    <row r="126" spans="1:3" x14ac:dyDescent="0.35">
      <c r="A126" t="s">
        <v>377</v>
      </c>
      <c r="B126" s="112">
        <v>2.8576000000000001</v>
      </c>
      <c r="C126" t="s">
        <v>378</v>
      </c>
    </row>
    <row r="127" spans="1:3" x14ac:dyDescent="0.35">
      <c r="A127" t="s">
        <v>379</v>
      </c>
      <c r="B127" s="112">
        <v>2.9097</v>
      </c>
      <c r="C127" t="s">
        <v>380</v>
      </c>
    </row>
    <row r="128" spans="1:3" x14ac:dyDescent="0.35">
      <c r="A128" t="s">
        <v>21</v>
      </c>
      <c r="B128" s="112">
        <v>2.5442</v>
      </c>
      <c r="C128" t="s">
        <v>22</v>
      </c>
    </row>
    <row r="129" spans="1:3" x14ac:dyDescent="0.35">
      <c r="A129" t="s">
        <v>55</v>
      </c>
      <c r="B129" s="112">
        <v>18.1525</v>
      </c>
      <c r="C129" t="s">
        <v>56</v>
      </c>
    </row>
    <row r="130" spans="1:3" x14ac:dyDescent="0.35">
      <c r="A130" t="s">
        <v>132</v>
      </c>
      <c r="B130" s="112">
        <v>5.0887000000000002</v>
      </c>
      <c r="C130" t="s">
        <v>133</v>
      </c>
    </row>
    <row r="131" spans="1:3" x14ac:dyDescent="0.35">
      <c r="A131" t="s">
        <v>134</v>
      </c>
      <c r="B131" s="112">
        <v>12.7225</v>
      </c>
      <c r="C131" t="s">
        <v>135</v>
      </c>
    </row>
    <row r="132" spans="1:3" x14ac:dyDescent="0.35">
      <c r="A132" t="s">
        <v>1054</v>
      </c>
      <c r="B132" s="112">
        <v>21.6646</v>
      </c>
      <c r="C132" t="s">
        <v>1055</v>
      </c>
    </row>
    <row r="133" spans="1:3" x14ac:dyDescent="0.35">
      <c r="A133" t="s">
        <v>1036</v>
      </c>
      <c r="B133" s="112">
        <v>15.2667</v>
      </c>
      <c r="C133" t="s">
        <v>1037</v>
      </c>
    </row>
    <row r="134" spans="1:3" x14ac:dyDescent="0.35">
      <c r="A134" t="s">
        <v>1056</v>
      </c>
      <c r="B134" s="112">
        <v>28.094799999999999</v>
      </c>
      <c r="C134" t="s">
        <v>1057</v>
      </c>
    </row>
    <row r="135" spans="1:3" x14ac:dyDescent="0.35">
      <c r="A135" t="s">
        <v>1058</v>
      </c>
      <c r="B135" s="112">
        <v>32.779699999999998</v>
      </c>
      <c r="C135" t="s">
        <v>1059</v>
      </c>
    </row>
    <row r="136" spans="1:3" x14ac:dyDescent="0.35">
      <c r="A136" t="s">
        <v>964</v>
      </c>
      <c r="B136" s="112">
        <v>4.391</v>
      </c>
      <c r="C136" t="s">
        <v>965</v>
      </c>
    </row>
    <row r="137" spans="1:3" x14ac:dyDescent="0.35">
      <c r="A137" t="s">
        <v>65</v>
      </c>
      <c r="B137" s="112">
        <v>35.697299999999998</v>
      </c>
      <c r="C137" t="s">
        <v>66</v>
      </c>
    </row>
    <row r="138" spans="1:3" x14ac:dyDescent="0.35">
      <c r="A138" t="s">
        <v>1034</v>
      </c>
      <c r="B138" s="112">
        <v>19.083200000000001</v>
      </c>
      <c r="C138" t="s">
        <v>1035</v>
      </c>
    </row>
    <row r="139" spans="1:3" x14ac:dyDescent="0.35">
      <c r="A139" t="s">
        <v>966</v>
      </c>
      <c r="B139" s="112">
        <v>5.4886999999999997</v>
      </c>
      <c r="C139" t="s">
        <v>967</v>
      </c>
    </row>
    <row r="140" spans="1:3" x14ac:dyDescent="0.35">
      <c r="A140" t="s">
        <v>67</v>
      </c>
      <c r="B140" s="112">
        <v>46.824199999999998</v>
      </c>
      <c r="C140" t="s">
        <v>68</v>
      </c>
    </row>
    <row r="141" spans="1:3" x14ac:dyDescent="0.35">
      <c r="A141" t="s">
        <v>140</v>
      </c>
      <c r="B141" s="112">
        <v>31.805499999999999</v>
      </c>
      <c r="C141" t="s">
        <v>141</v>
      </c>
    </row>
    <row r="142" spans="1:3" x14ac:dyDescent="0.35">
      <c r="A142" t="s">
        <v>90</v>
      </c>
      <c r="B142" s="112">
        <v>8.7807999999999993</v>
      </c>
      <c r="C142" t="s">
        <v>91</v>
      </c>
    </row>
    <row r="143" spans="1:3" x14ac:dyDescent="0.35">
      <c r="A143" t="s">
        <v>92</v>
      </c>
      <c r="B143" s="112">
        <v>16.136399999999998</v>
      </c>
      <c r="C143" t="s">
        <v>93</v>
      </c>
    </row>
    <row r="144" spans="1:3" x14ac:dyDescent="0.35">
      <c r="A144" t="s">
        <v>1022</v>
      </c>
      <c r="B144" s="112">
        <v>32.2727</v>
      </c>
      <c r="C144" t="s">
        <v>1023</v>
      </c>
    </row>
    <row r="145" spans="1:3" x14ac:dyDescent="0.35">
      <c r="A145" t="s">
        <v>15</v>
      </c>
      <c r="B145" s="112">
        <v>0.7631</v>
      </c>
      <c r="C145" t="s">
        <v>16</v>
      </c>
    </row>
    <row r="146" spans="1:3" x14ac:dyDescent="0.35">
      <c r="A146" t="s">
        <v>27</v>
      </c>
      <c r="B146" s="112">
        <v>6.5858999999999996</v>
      </c>
      <c r="C146" t="s">
        <v>28</v>
      </c>
    </row>
    <row r="147" spans="1:3" x14ac:dyDescent="0.35">
      <c r="A147" t="s">
        <v>1060</v>
      </c>
      <c r="B147" s="112">
        <v>53.798900000000003</v>
      </c>
      <c r="C147" t="s">
        <v>1061</v>
      </c>
    </row>
    <row r="148" spans="1:3" x14ac:dyDescent="0.35">
      <c r="A148" t="s">
        <v>29</v>
      </c>
      <c r="B148" s="112">
        <v>7.4863</v>
      </c>
      <c r="C148" t="s">
        <v>30</v>
      </c>
    </row>
    <row r="149" spans="1:3" x14ac:dyDescent="0.35">
      <c r="A149" t="s">
        <v>968</v>
      </c>
      <c r="B149" s="112">
        <v>7.5279999999999996</v>
      </c>
      <c r="C149" t="s">
        <v>969</v>
      </c>
    </row>
    <row r="150" spans="1:3" x14ac:dyDescent="0.35">
      <c r="A150" t="s">
        <v>35</v>
      </c>
      <c r="B150" s="112">
        <v>8.0670999999999999</v>
      </c>
      <c r="C150" t="s">
        <v>36</v>
      </c>
    </row>
    <row r="151" spans="1:3" x14ac:dyDescent="0.35">
      <c r="A151" t="s">
        <v>71</v>
      </c>
      <c r="B151" s="112">
        <v>65.677899999999994</v>
      </c>
      <c r="C151" t="s">
        <v>72</v>
      </c>
    </row>
    <row r="152" spans="1:3" x14ac:dyDescent="0.35">
      <c r="A152" t="s">
        <v>73</v>
      </c>
      <c r="B152" s="112">
        <v>66.200699999999998</v>
      </c>
      <c r="C152" t="s">
        <v>74</v>
      </c>
    </row>
    <row r="153" spans="1:3" x14ac:dyDescent="0.35">
      <c r="A153" t="s">
        <v>75</v>
      </c>
      <c r="B153" s="112">
        <v>66.286600000000007</v>
      </c>
      <c r="C153" t="s">
        <v>76</v>
      </c>
    </row>
    <row r="154" spans="1:3" x14ac:dyDescent="0.35">
      <c r="A154" t="s">
        <v>77</v>
      </c>
      <c r="B154" s="112">
        <v>66.305300000000003</v>
      </c>
      <c r="C154" t="s">
        <v>78</v>
      </c>
    </row>
    <row r="155" spans="1:3" x14ac:dyDescent="0.35">
      <c r="A155" t="s">
        <v>79</v>
      </c>
      <c r="B155" s="112">
        <v>66.374200000000002</v>
      </c>
      <c r="C155" t="s">
        <v>80</v>
      </c>
    </row>
    <row r="156" spans="1:3" x14ac:dyDescent="0.35">
      <c r="A156" t="s">
        <v>958</v>
      </c>
      <c r="B156" s="112">
        <v>7.6326999999999998</v>
      </c>
      <c r="C156" t="s">
        <v>959</v>
      </c>
    </row>
    <row r="157" spans="1:3" x14ac:dyDescent="0.35">
      <c r="A157" t="s">
        <v>100</v>
      </c>
      <c r="B157" s="112">
        <v>13.1723</v>
      </c>
      <c r="C157" t="s">
        <v>101</v>
      </c>
    </row>
    <row r="158" spans="1:3" x14ac:dyDescent="0.35">
      <c r="A158" t="s">
        <v>1020</v>
      </c>
      <c r="B158" s="112">
        <v>24.2014</v>
      </c>
      <c r="C158" t="s">
        <v>1021</v>
      </c>
    </row>
    <row r="159" spans="1:3" x14ac:dyDescent="0.35">
      <c r="A159" t="s">
        <v>102</v>
      </c>
      <c r="B159" s="112">
        <v>3.0531000000000001</v>
      </c>
      <c r="C159" t="s">
        <v>103</v>
      </c>
    </row>
    <row r="160" spans="1:3" x14ac:dyDescent="0.35">
      <c r="A160" t="s">
        <v>104</v>
      </c>
      <c r="B160" s="112">
        <v>3.8169</v>
      </c>
      <c r="C160" t="s">
        <v>105</v>
      </c>
    </row>
    <row r="161" spans="1:3" x14ac:dyDescent="0.35">
      <c r="A161" t="s">
        <v>1024</v>
      </c>
      <c r="B161" s="112">
        <v>48.409100000000002</v>
      </c>
      <c r="C161" t="s">
        <v>1025</v>
      </c>
    </row>
    <row r="162" spans="1:3" x14ac:dyDescent="0.35">
      <c r="A162" t="s">
        <v>17</v>
      </c>
      <c r="B162" s="112">
        <v>1.0175000000000001</v>
      </c>
      <c r="C162" t="s">
        <v>18</v>
      </c>
    </row>
    <row r="163" spans="1:3" x14ac:dyDescent="0.35">
      <c r="A163" t="s">
        <v>81</v>
      </c>
      <c r="B163" s="112">
        <v>70.054199999999994</v>
      </c>
      <c r="C163" t="s">
        <v>82</v>
      </c>
    </row>
    <row r="164" spans="1:3" x14ac:dyDescent="0.35">
      <c r="A164" t="s">
        <v>1028</v>
      </c>
      <c r="B164" s="112">
        <v>9.8796999999999997</v>
      </c>
      <c r="C164" t="s">
        <v>1029</v>
      </c>
    </row>
    <row r="165" spans="1:3" x14ac:dyDescent="0.35">
      <c r="A165" t="s">
        <v>83</v>
      </c>
      <c r="B165" s="112">
        <v>78.965900000000005</v>
      </c>
      <c r="C165" t="s">
        <v>84</v>
      </c>
    </row>
    <row r="166" spans="1:3" x14ac:dyDescent="0.35">
      <c r="A166" t="s">
        <v>1032</v>
      </c>
      <c r="B166" s="112">
        <v>1.1002000000000001</v>
      </c>
      <c r="C166" t="s">
        <v>1033</v>
      </c>
    </row>
    <row r="167" spans="1:3" x14ac:dyDescent="0.35">
      <c r="A167" t="s">
        <v>39</v>
      </c>
      <c r="B167" s="112">
        <v>10.431800000000001</v>
      </c>
      <c r="C167" t="s">
        <v>40</v>
      </c>
    </row>
    <row r="168" spans="1:3" x14ac:dyDescent="0.35">
      <c r="A168" t="s">
        <v>960</v>
      </c>
      <c r="B168" s="112">
        <v>10.1769</v>
      </c>
      <c r="C168" t="s">
        <v>961</v>
      </c>
    </row>
    <row r="169" spans="1:3" x14ac:dyDescent="0.35">
      <c r="A169" t="s">
        <v>116</v>
      </c>
      <c r="B169" s="112">
        <v>17.563700000000001</v>
      </c>
      <c r="C169" t="s">
        <v>117</v>
      </c>
    </row>
    <row r="170" spans="1:3" x14ac:dyDescent="0.35">
      <c r="A170" t="s">
        <v>962</v>
      </c>
      <c r="B170" s="112">
        <v>5.0888999999999998</v>
      </c>
      <c r="C170" t="s">
        <v>963</v>
      </c>
    </row>
    <row r="171" spans="1:3" x14ac:dyDescent="0.35">
      <c r="A171" t="s">
        <v>1026</v>
      </c>
      <c r="B171" s="112">
        <v>64.545500000000004</v>
      </c>
      <c r="C171" t="s">
        <v>1027</v>
      </c>
    </row>
    <row r="172" spans="1:3" x14ac:dyDescent="0.35">
      <c r="A172" t="s">
        <v>19</v>
      </c>
      <c r="B172" s="112">
        <v>1.2723</v>
      </c>
      <c r="C172" t="s">
        <v>20</v>
      </c>
    </row>
    <row r="173" spans="1:3" x14ac:dyDescent="0.35">
      <c r="A173" t="s">
        <v>41</v>
      </c>
      <c r="B173" s="112">
        <v>10.7546</v>
      </c>
      <c r="C173" t="s">
        <v>42</v>
      </c>
    </row>
    <row r="174" spans="1:3" x14ac:dyDescent="0.35">
      <c r="A174" t="s">
        <v>120</v>
      </c>
      <c r="B174" s="112">
        <v>21.955100000000002</v>
      </c>
      <c r="C174" t="s">
        <v>121</v>
      </c>
    </row>
    <row r="175" spans="1:3" x14ac:dyDescent="0.35">
      <c r="A175" t="s">
        <v>122</v>
      </c>
      <c r="B175" s="112">
        <v>6.8052000000000001</v>
      </c>
      <c r="C175" t="s">
        <v>123</v>
      </c>
    </row>
    <row r="176" spans="1:3" x14ac:dyDescent="0.35">
      <c r="A176" t="s">
        <v>1062</v>
      </c>
      <c r="B176" s="112">
        <v>105.28789999999999</v>
      </c>
      <c r="C176" t="s">
        <v>1063</v>
      </c>
    </row>
    <row r="177" spans="1:3" x14ac:dyDescent="0.35">
      <c r="A177" t="s">
        <v>126</v>
      </c>
      <c r="B177" s="112">
        <v>7.6337000000000002</v>
      </c>
      <c r="C177" t="s">
        <v>127</v>
      </c>
    </row>
    <row r="178" spans="1:3" x14ac:dyDescent="0.35">
      <c r="A178" t="s">
        <v>45</v>
      </c>
      <c r="B178" s="112">
        <v>13.6996</v>
      </c>
      <c r="C178" t="s">
        <v>46</v>
      </c>
    </row>
    <row r="179" spans="1:3" x14ac:dyDescent="0.35">
      <c r="A179" t="s">
        <v>47</v>
      </c>
      <c r="B179" s="112">
        <v>13.893700000000001</v>
      </c>
      <c r="C179" t="s">
        <v>48</v>
      </c>
    </row>
    <row r="180" spans="1:3" x14ac:dyDescent="0.35">
      <c r="A180" t="s">
        <v>49</v>
      </c>
      <c r="B180" s="112">
        <v>14.0886</v>
      </c>
      <c r="C180" t="s">
        <v>50</v>
      </c>
    </row>
    <row r="181" spans="1:3" x14ac:dyDescent="0.35">
      <c r="A181" t="s">
        <v>51</v>
      </c>
      <c r="B181" s="112">
        <v>14.284800000000001</v>
      </c>
      <c r="C181" t="s">
        <v>52</v>
      </c>
    </row>
    <row r="182" spans="1:3" x14ac:dyDescent="0.35">
      <c r="A182" t="s">
        <v>53</v>
      </c>
      <c r="B182" s="112">
        <v>14.6782</v>
      </c>
      <c r="C182" t="s">
        <v>54</v>
      </c>
    </row>
    <row r="183" spans="1:3" x14ac:dyDescent="0.35">
      <c r="A183" t="s">
        <v>1050</v>
      </c>
      <c r="B183" s="112">
        <v>19.068100000000001</v>
      </c>
      <c r="C183" t="s">
        <v>1051</v>
      </c>
    </row>
    <row r="184" spans="1:3" x14ac:dyDescent="0.35">
      <c r="A184" t="s">
        <v>1048</v>
      </c>
      <c r="B184" s="112">
        <v>19.068100000000001</v>
      </c>
      <c r="C184" t="s">
        <v>1049</v>
      </c>
    </row>
    <row r="185" spans="1:3" x14ac:dyDescent="0.35">
      <c r="A185" t="s">
        <v>1046</v>
      </c>
      <c r="B185" s="112">
        <v>18.494800000000001</v>
      </c>
      <c r="C185" t="s">
        <v>1047</v>
      </c>
    </row>
    <row r="186" spans="1:3" x14ac:dyDescent="0.35">
      <c r="A186" t="s">
        <v>33</v>
      </c>
      <c r="B186" s="112">
        <v>7.7252000000000001</v>
      </c>
      <c r="C186" t="s">
        <v>34</v>
      </c>
    </row>
    <row r="187" spans="1:3" x14ac:dyDescent="0.35">
      <c r="A187" t="s">
        <v>142</v>
      </c>
      <c r="B187" s="112">
        <v>0.3805</v>
      </c>
      <c r="C187" t="s">
        <v>143</v>
      </c>
    </row>
    <row r="188" spans="1:3" x14ac:dyDescent="0.35">
      <c r="A188" t="s">
        <v>144</v>
      </c>
      <c r="B188" s="112">
        <v>3.8140999999999998</v>
      </c>
      <c r="C188" t="s">
        <v>145</v>
      </c>
    </row>
    <row r="189" spans="1:3" x14ac:dyDescent="0.35">
      <c r="A189" t="s">
        <v>146</v>
      </c>
      <c r="B189" s="112">
        <v>27.572900000000001</v>
      </c>
      <c r="C189" t="s">
        <v>147</v>
      </c>
    </row>
    <row r="190" spans="1:3" x14ac:dyDescent="0.35">
      <c r="A190" t="s">
        <v>981</v>
      </c>
      <c r="B190" s="112">
        <v>4.4362000000000004</v>
      </c>
      <c r="C190" t="s">
        <v>982</v>
      </c>
    </row>
    <row r="191" spans="1:3" x14ac:dyDescent="0.35">
      <c r="A191" t="s">
        <v>148</v>
      </c>
      <c r="B191" s="112">
        <v>33.086399999999998</v>
      </c>
      <c r="C191" t="s">
        <v>149</v>
      </c>
    </row>
    <row r="192" spans="1:3" x14ac:dyDescent="0.35">
      <c r="A192" t="s">
        <v>267</v>
      </c>
      <c r="B192" s="112">
        <v>3.1682999999999999</v>
      </c>
      <c r="C192" t="s">
        <v>268</v>
      </c>
    </row>
    <row r="193" spans="1:3" x14ac:dyDescent="0.35">
      <c r="A193" t="s">
        <v>150</v>
      </c>
      <c r="B193" s="112">
        <v>5.5458999999999996</v>
      </c>
      <c r="C193" t="s">
        <v>151</v>
      </c>
    </row>
    <row r="194" spans="1:3" x14ac:dyDescent="0.35">
      <c r="A194" t="s">
        <v>152</v>
      </c>
      <c r="B194" s="112">
        <v>41.939300000000003</v>
      </c>
      <c r="C194" t="s">
        <v>153</v>
      </c>
    </row>
    <row r="195" spans="1:3" x14ac:dyDescent="0.35">
      <c r="A195" t="s">
        <v>154</v>
      </c>
      <c r="B195" s="112">
        <v>44.735300000000002</v>
      </c>
      <c r="C195" t="s">
        <v>155</v>
      </c>
    </row>
    <row r="196" spans="1:3" x14ac:dyDescent="0.35">
      <c r="A196" t="s">
        <v>156</v>
      </c>
      <c r="B196" s="112">
        <v>6.4699</v>
      </c>
      <c r="C196" t="s">
        <v>157</v>
      </c>
    </row>
    <row r="197" spans="1:3" x14ac:dyDescent="0.35">
      <c r="A197" t="s">
        <v>158</v>
      </c>
      <c r="B197" s="112">
        <v>6.6548999999999996</v>
      </c>
      <c r="C197" t="s">
        <v>159</v>
      </c>
    </row>
    <row r="198" spans="1:3" x14ac:dyDescent="0.35">
      <c r="A198" t="s">
        <v>160</v>
      </c>
      <c r="B198" s="112">
        <v>50.327399999999997</v>
      </c>
      <c r="C198" t="s">
        <v>161</v>
      </c>
    </row>
    <row r="199" spans="1:3" x14ac:dyDescent="0.35">
      <c r="A199" t="s">
        <v>162</v>
      </c>
      <c r="B199" s="112">
        <v>0.98919999999999997</v>
      </c>
      <c r="C199" t="s">
        <v>163</v>
      </c>
    </row>
    <row r="200" spans="1:3" x14ac:dyDescent="0.35">
      <c r="A200" t="s">
        <v>164</v>
      </c>
      <c r="B200" s="112">
        <v>0.99170000000000003</v>
      </c>
      <c r="C200" t="s">
        <v>165</v>
      </c>
    </row>
    <row r="201" spans="1:3" x14ac:dyDescent="0.35">
      <c r="A201" t="s">
        <v>166</v>
      </c>
      <c r="B201" s="112">
        <v>52.048999999999999</v>
      </c>
      <c r="C201" t="s">
        <v>167</v>
      </c>
    </row>
    <row r="202" spans="1:3" x14ac:dyDescent="0.35">
      <c r="A202" t="s">
        <v>168</v>
      </c>
      <c r="B202" s="112">
        <v>54.503</v>
      </c>
      <c r="C202" t="s">
        <v>169</v>
      </c>
    </row>
    <row r="203" spans="1:3" x14ac:dyDescent="0.35">
      <c r="A203" t="s">
        <v>170</v>
      </c>
      <c r="B203" s="112">
        <v>1.0593999999999999</v>
      </c>
      <c r="C203" t="s">
        <v>171</v>
      </c>
    </row>
    <row r="204" spans="1:3" x14ac:dyDescent="0.35">
      <c r="A204" t="s">
        <v>172</v>
      </c>
      <c r="B204" s="112">
        <v>7.1535000000000002</v>
      </c>
      <c r="C204" t="s">
        <v>173</v>
      </c>
    </row>
    <row r="205" spans="1:3" x14ac:dyDescent="0.35">
      <c r="A205" t="s">
        <v>174</v>
      </c>
      <c r="B205" s="112">
        <v>55.917099999999998</v>
      </c>
      <c r="C205" t="s">
        <v>175</v>
      </c>
    </row>
    <row r="206" spans="1:3" x14ac:dyDescent="0.35">
      <c r="A206" t="s">
        <v>176</v>
      </c>
      <c r="B206" s="112">
        <v>61.508800000000001</v>
      </c>
      <c r="C206" t="s">
        <v>177</v>
      </c>
    </row>
    <row r="207" spans="1:3" x14ac:dyDescent="0.35">
      <c r="A207" t="s">
        <v>983</v>
      </c>
      <c r="B207" s="112">
        <v>6.3586</v>
      </c>
      <c r="C207" t="s">
        <v>984</v>
      </c>
    </row>
    <row r="208" spans="1:3" x14ac:dyDescent="0.35">
      <c r="A208" t="s">
        <v>178</v>
      </c>
      <c r="B208" s="112">
        <v>1.3221000000000001</v>
      </c>
      <c r="C208" t="s">
        <v>179</v>
      </c>
    </row>
    <row r="209" spans="1:3" x14ac:dyDescent="0.35">
      <c r="A209" t="s">
        <v>180</v>
      </c>
      <c r="B209" s="112">
        <v>8.9403000000000006</v>
      </c>
      <c r="C209" t="s">
        <v>181</v>
      </c>
    </row>
    <row r="210" spans="1:3" x14ac:dyDescent="0.35">
      <c r="A210" t="s">
        <v>182</v>
      </c>
      <c r="B210" s="112">
        <v>9.5152999999999999</v>
      </c>
      <c r="C210" t="s">
        <v>183</v>
      </c>
    </row>
    <row r="211" spans="1:3" x14ac:dyDescent="0.35">
      <c r="A211" t="s">
        <v>184</v>
      </c>
      <c r="B211" s="112">
        <v>78.286500000000004</v>
      </c>
      <c r="C211" t="s">
        <v>185</v>
      </c>
    </row>
    <row r="212" spans="1:3" x14ac:dyDescent="0.35">
      <c r="A212" t="s">
        <v>186</v>
      </c>
      <c r="B212" s="112">
        <v>1.5330999999999999</v>
      </c>
      <c r="C212" t="s">
        <v>187</v>
      </c>
    </row>
    <row r="213" spans="1:3" x14ac:dyDescent="0.35">
      <c r="A213" t="s">
        <v>225</v>
      </c>
      <c r="B213" s="112">
        <v>7.6280999999999999</v>
      </c>
      <c r="C213" t="s">
        <v>226</v>
      </c>
    </row>
    <row r="214" spans="1:3" x14ac:dyDescent="0.35">
      <c r="A214" t="s">
        <v>227</v>
      </c>
      <c r="B214" s="112">
        <v>1.9789000000000001</v>
      </c>
      <c r="C214" t="s">
        <v>228</v>
      </c>
    </row>
    <row r="215" spans="1:3" x14ac:dyDescent="0.35">
      <c r="A215" t="s">
        <v>229</v>
      </c>
      <c r="B215" s="112">
        <v>2.1185</v>
      </c>
      <c r="C215" t="s">
        <v>230</v>
      </c>
    </row>
    <row r="216" spans="1:3" x14ac:dyDescent="0.35">
      <c r="A216" t="s">
        <v>231</v>
      </c>
      <c r="B216" s="112">
        <v>3.9659</v>
      </c>
      <c r="C216" t="s">
        <v>232</v>
      </c>
    </row>
    <row r="217" spans="1:3" x14ac:dyDescent="0.35">
      <c r="A217" t="s">
        <v>233</v>
      </c>
      <c r="B217" s="112">
        <v>24.814399999999999</v>
      </c>
      <c r="C217" t="s">
        <v>234</v>
      </c>
    </row>
    <row r="218" spans="1:3" x14ac:dyDescent="0.35">
      <c r="A218" t="s">
        <v>235</v>
      </c>
      <c r="B218" s="112">
        <v>6.6649000000000003</v>
      </c>
      <c r="C218" t="s">
        <v>236</v>
      </c>
    </row>
    <row r="219" spans="1:3" x14ac:dyDescent="0.35">
      <c r="A219" t="s">
        <v>188</v>
      </c>
      <c r="B219" s="112">
        <v>1.5861000000000001</v>
      </c>
      <c r="C219" t="s">
        <v>189</v>
      </c>
    </row>
    <row r="220" spans="1:3" x14ac:dyDescent="0.35">
      <c r="A220" t="s">
        <v>190</v>
      </c>
      <c r="B220" s="112">
        <v>10.3809</v>
      </c>
      <c r="C220" t="s">
        <v>191</v>
      </c>
    </row>
    <row r="221" spans="1:3" x14ac:dyDescent="0.35">
      <c r="A221" t="s">
        <v>985</v>
      </c>
      <c r="B221" s="112">
        <v>83.846199999999996</v>
      </c>
      <c r="C221" t="s">
        <v>986</v>
      </c>
    </row>
    <row r="222" spans="1:3" x14ac:dyDescent="0.35">
      <c r="A222" t="s">
        <v>192</v>
      </c>
      <c r="B222" s="112">
        <v>1.7551000000000001</v>
      </c>
      <c r="C222" t="s">
        <v>193</v>
      </c>
    </row>
    <row r="223" spans="1:3" x14ac:dyDescent="0.35">
      <c r="A223" t="s">
        <v>194</v>
      </c>
      <c r="B223" s="112">
        <v>1.8507</v>
      </c>
      <c r="C223" t="s">
        <v>195</v>
      </c>
    </row>
    <row r="224" spans="1:3" x14ac:dyDescent="0.35">
      <c r="A224" t="s">
        <v>987</v>
      </c>
      <c r="B224" s="112">
        <v>1.8880999999999999</v>
      </c>
      <c r="C224" t="s">
        <v>988</v>
      </c>
    </row>
    <row r="225" spans="1:3" x14ac:dyDescent="0.35">
      <c r="A225" t="s">
        <v>196</v>
      </c>
      <c r="B225" s="112">
        <v>1.9829000000000001</v>
      </c>
      <c r="C225" t="s">
        <v>197</v>
      </c>
    </row>
    <row r="226" spans="1:3" x14ac:dyDescent="0.35">
      <c r="A226" t="s">
        <v>989</v>
      </c>
      <c r="B226" s="112">
        <v>12.976000000000001</v>
      </c>
      <c r="C226" t="s">
        <v>990</v>
      </c>
    </row>
    <row r="227" spans="1:3" x14ac:dyDescent="0.35">
      <c r="A227" t="s">
        <v>237</v>
      </c>
      <c r="B227" s="112">
        <v>3.1642000000000001</v>
      </c>
      <c r="C227" t="s">
        <v>238</v>
      </c>
    </row>
    <row r="228" spans="1:3" x14ac:dyDescent="0.35">
      <c r="A228" t="s">
        <v>239</v>
      </c>
      <c r="B228" s="112">
        <v>3.9668999999999999</v>
      </c>
      <c r="C228" t="s">
        <v>240</v>
      </c>
    </row>
    <row r="229" spans="1:3" x14ac:dyDescent="0.35">
      <c r="A229" t="s">
        <v>241</v>
      </c>
      <c r="B229" s="112">
        <v>5.9492000000000003</v>
      </c>
      <c r="C229" t="s">
        <v>242</v>
      </c>
    </row>
    <row r="230" spans="1:3" x14ac:dyDescent="0.35">
      <c r="A230" t="s">
        <v>243</v>
      </c>
      <c r="B230" s="112">
        <v>0.79190000000000005</v>
      </c>
      <c r="C230" t="s">
        <v>244</v>
      </c>
    </row>
    <row r="231" spans="1:3" x14ac:dyDescent="0.35">
      <c r="A231" t="s">
        <v>245</v>
      </c>
      <c r="B231" s="112">
        <v>9.9974000000000007</v>
      </c>
      <c r="C231" t="s">
        <v>246</v>
      </c>
    </row>
    <row r="232" spans="1:3" x14ac:dyDescent="0.35">
      <c r="A232" t="s">
        <v>198</v>
      </c>
      <c r="B232" s="112">
        <v>12.8085</v>
      </c>
      <c r="C232" t="s">
        <v>199</v>
      </c>
    </row>
    <row r="233" spans="1:3" x14ac:dyDescent="0.35">
      <c r="A233" t="s">
        <v>200</v>
      </c>
      <c r="B233" s="112">
        <v>14.407999999999999</v>
      </c>
      <c r="C233" t="s">
        <v>201</v>
      </c>
    </row>
    <row r="234" spans="1:3" x14ac:dyDescent="0.35">
      <c r="A234" t="s">
        <v>991</v>
      </c>
      <c r="B234" s="112">
        <v>2.16</v>
      </c>
      <c r="C234" t="s">
        <v>992</v>
      </c>
    </row>
    <row r="235" spans="1:3" x14ac:dyDescent="0.35">
      <c r="A235" t="s">
        <v>993</v>
      </c>
      <c r="B235" s="112">
        <v>15.3695</v>
      </c>
      <c r="C235" t="s">
        <v>994</v>
      </c>
    </row>
    <row r="236" spans="1:3" x14ac:dyDescent="0.35">
      <c r="A236" t="s">
        <v>247</v>
      </c>
      <c r="B236" s="112">
        <v>3.9577</v>
      </c>
      <c r="C236" t="s">
        <v>248</v>
      </c>
    </row>
    <row r="237" spans="1:3" x14ac:dyDescent="0.35">
      <c r="A237" t="s">
        <v>249</v>
      </c>
      <c r="B237" s="112">
        <v>3.9685999999999999</v>
      </c>
      <c r="C237" t="s">
        <v>250</v>
      </c>
    </row>
    <row r="238" spans="1:3" x14ac:dyDescent="0.35">
      <c r="A238" t="s">
        <v>251</v>
      </c>
      <c r="B238" s="112">
        <v>4.2374000000000001</v>
      </c>
      <c r="C238" t="s">
        <v>252</v>
      </c>
    </row>
    <row r="239" spans="1:3" x14ac:dyDescent="0.35">
      <c r="A239" t="s">
        <v>253</v>
      </c>
      <c r="B239" s="112">
        <v>5.2896999999999998</v>
      </c>
      <c r="C239" t="s">
        <v>254</v>
      </c>
    </row>
    <row r="240" spans="1:3" x14ac:dyDescent="0.35">
      <c r="A240" t="s">
        <v>255</v>
      </c>
      <c r="B240" s="112">
        <v>7.9321000000000002</v>
      </c>
      <c r="C240" t="s">
        <v>256</v>
      </c>
    </row>
    <row r="241" spans="1:3" x14ac:dyDescent="0.35">
      <c r="A241" t="s">
        <v>257</v>
      </c>
      <c r="B241" s="112">
        <v>10.5854</v>
      </c>
      <c r="C241" t="s">
        <v>258</v>
      </c>
    </row>
    <row r="242" spans="1:3" x14ac:dyDescent="0.35">
      <c r="A242" t="s">
        <v>995</v>
      </c>
      <c r="B242" s="112">
        <v>13.326000000000001</v>
      </c>
      <c r="C242" t="s">
        <v>996</v>
      </c>
    </row>
    <row r="243" spans="1:3" x14ac:dyDescent="0.35">
      <c r="A243" t="s">
        <v>202</v>
      </c>
      <c r="B243" s="112">
        <v>0.26390000000000002</v>
      </c>
      <c r="C243" t="s">
        <v>203</v>
      </c>
    </row>
    <row r="244" spans="1:3" x14ac:dyDescent="0.35">
      <c r="A244" t="s">
        <v>204</v>
      </c>
      <c r="B244" s="112">
        <v>2.6463000000000001</v>
      </c>
      <c r="C244" t="s">
        <v>205</v>
      </c>
    </row>
    <row r="245" spans="1:3" x14ac:dyDescent="0.35">
      <c r="A245" t="s">
        <v>206</v>
      </c>
      <c r="B245" s="112">
        <v>16.010000000000002</v>
      </c>
      <c r="C245" t="s">
        <v>207</v>
      </c>
    </row>
    <row r="246" spans="1:3" x14ac:dyDescent="0.35">
      <c r="A246" t="s">
        <v>208</v>
      </c>
      <c r="B246" s="112">
        <v>19.212599999999998</v>
      </c>
      <c r="C246" t="s">
        <v>209</v>
      </c>
    </row>
    <row r="247" spans="1:3" x14ac:dyDescent="0.35">
      <c r="A247" t="s">
        <v>210</v>
      </c>
      <c r="B247" s="112">
        <v>2.7547000000000001</v>
      </c>
      <c r="C247" t="s">
        <v>211</v>
      </c>
    </row>
    <row r="248" spans="1:3" x14ac:dyDescent="0.35">
      <c r="A248" t="s">
        <v>997</v>
      </c>
      <c r="B248" s="112">
        <v>2.8372999999999999</v>
      </c>
      <c r="C248" t="s">
        <v>998</v>
      </c>
    </row>
    <row r="249" spans="1:3" x14ac:dyDescent="0.35">
      <c r="A249" t="s">
        <v>259</v>
      </c>
      <c r="B249" s="112">
        <v>5.9366000000000003</v>
      </c>
      <c r="C249" t="s">
        <v>260</v>
      </c>
    </row>
    <row r="250" spans="1:3" x14ac:dyDescent="0.35">
      <c r="A250" t="s">
        <v>261</v>
      </c>
      <c r="B250" s="112">
        <v>7.9348000000000001</v>
      </c>
      <c r="C250" t="s">
        <v>262</v>
      </c>
    </row>
    <row r="251" spans="1:3" x14ac:dyDescent="0.35">
      <c r="A251" t="s">
        <v>263</v>
      </c>
      <c r="B251" s="112">
        <v>1.5846</v>
      </c>
      <c r="C251" t="s">
        <v>264</v>
      </c>
    </row>
    <row r="252" spans="1:3" x14ac:dyDescent="0.35">
      <c r="A252" t="s">
        <v>265</v>
      </c>
      <c r="B252" s="112">
        <v>19.994399999999999</v>
      </c>
      <c r="C252" t="s">
        <v>266</v>
      </c>
    </row>
    <row r="253" spans="1:3" x14ac:dyDescent="0.35">
      <c r="A253" t="s">
        <v>212</v>
      </c>
      <c r="B253" s="112">
        <v>3.1107</v>
      </c>
      <c r="C253" t="s">
        <v>213</v>
      </c>
    </row>
    <row r="254" spans="1:3" x14ac:dyDescent="0.35">
      <c r="A254" t="s">
        <v>214</v>
      </c>
      <c r="B254" s="112">
        <v>3.1987999999999999</v>
      </c>
      <c r="C254" t="s">
        <v>215</v>
      </c>
    </row>
    <row r="255" spans="1:3" x14ac:dyDescent="0.35">
      <c r="A255" t="s">
        <v>216</v>
      </c>
      <c r="B255" s="112">
        <v>3.2429000000000001</v>
      </c>
      <c r="C255" t="s">
        <v>217</v>
      </c>
    </row>
    <row r="256" spans="1:3" x14ac:dyDescent="0.35">
      <c r="A256" t="s">
        <v>218</v>
      </c>
      <c r="B256" s="112">
        <v>3.3323999999999998</v>
      </c>
      <c r="C256" t="s">
        <v>219</v>
      </c>
    </row>
    <row r="257" spans="1:3" x14ac:dyDescent="0.35">
      <c r="A257" t="s">
        <v>999</v>
      </c>
      <c r="B257" s="112">
        <v>26.659099999999999</v>
      </c>
      <c r="C257" t="s">
        <v>1000</v>
      </c>
    </row>
    <row r="258" spans="1:3" x14ac:dyDescent="0.35">
      <c r="A258" t="s">
        <v>220</v>
      </c>
      <c r="B258" s="112">
        <v>3.4306999999999999</v>
      </c>
      <c r="C258" t="s">
        <v>221</v>
      </c>
    </row>
    <row r="259" spans="1:3" x14ac:dyDescent="0.35">
      <c r="A259" t="s">
        <v>222</v>
      </c>
      <c r="B259" s="112">
        <v>24.814399999999999</v>
      </c>
      <c r="C259" t="s">
        <v>223</v>
      </c>
    </row>
    <row r="260" spans="1:3" x14ac:dyDescent="0.35">
      <c r="A260" t="s">
        <v>451</v>
      </c>
      <c r="B260">
        <v>0.45329999999999998</v>
      </c>
      <c r="C260" t="s">
        <v>452</v>
      </c>
    </row>
    <row r="261" spans="1:3" x14ac:dyDescent="0.35">
      <c r="A261" t="s">
        <v>439</v>
      </c>
      <c r="B261">
        <v>0.56659999999999999</v>
      </c>
      <c r="C261" t="s">
        <v>440</v>
      </c>
    </row>
    <row r="262" spans="1:3" x14ac:dyDescent="0.35">
      <c r="A262" t="s">
        <v>471</v>
      </c>
      <c r="B262">
        <v>0.46910000000000002</v>
      </c>
      <c r="C262" t="s">
        <v>472</v>
      </c>
    </row>
    <row r="263" spans="1:3" x14ac:dyDescent="0.35">
      <c r="A263" t="s">
        <v>481</v>
      </c>
      <c r="B263">
        <v>0.50309999999999999</v>
      </c>
      <c r="C263" t="s">
        <v>482</v>
      </c>
    </row>
    <row r="264" spans="1:3" x14ac:dyDescent="0.35">
      <c r="A264" t="s">
        <v>491</v>
      </c>
      <c r="B264">
        <v>0.56659999999999999</v>
      </c>
      <c r="C264" t="s">
        <v>492</v>
      </c>
    </row>
    <row r="265" spans="1:3" x14ac:dyDescent="0.35">
      <c r="A265" t="s">
        <v>455</v>
      </c>
      <c r="B265">
        <v>2.2663000000000002</v>
      </c>
      <c r="C265" t="s">
        <v>456</v>
      </c>
    </row>
    <row r="266" spans="1:3" x14ac:dyDescent="0.35">
      <c r="A266" t="s">
        <v>501</v>
      </c>
      <c r="B266">
        <v>0.62319999999999998</v>
      </c>
      <c r="C266" t="s">
        <v>502</v>
      </c>
    </row>
    <row r="267" spans="1:3" x14ac:dyDescent="0.35">
      <c r="A267" t="s">
        <v>895</v>
      </c>
      <c r="B267">
        <v>0.64359999999999995</v>
      </c>
      <c r="C267" t="s">
        <v>896</v>
      </c>
    </row>
    <row r="268" spans="1:3" x14ac:dyDescent="0.35">
      <c r="A268" t="s">
        <v>449</v>
      </c>
      <c r="B268">
        <v>0.74790000000000001</v>
      </c>
      <c r="C268" t="s">
        <v>450</v>
      </c>
    </row>
    <row r="269" spans="1:3" x14ac:dyDescent="0.35">
      <c r="A269" t="s">
        <v>459</v>
      </c>
      <c r="B269">
        <v>0.75919999999999999</v>
      </c>
      <c r="C269" t="s">
        <v>460</v>
      </c>
    </row>
    <row r="270" spans="1:3" x14ac:dyDescent="0.35">
      <c r="A270" t="s">
        <v>469</v>
      </c>
      <c r="B270">
        <v>0.77049999999999996</v>
      </c>
      <c r="C270" t="s">
        <v>470</v>
      </c>
    </row>
    <row r="271" spans="1:3" x14ac:dyDescent="0.35">
      <c r="A271" t="s">
        <v>479</v>
      </c>
      <c r="B271">
        <v>0.77280000000000004</v>
      </c>
      <c r="C271" t="s">
        <v>480</v>
      </c>
    </row>
    <row r="272" spans="1:3" x14ac:dyDescent="0.35">
      <c r="A272" t="s">
        <v>489</v>
      </c>
      <c r="B272">
        <v>0.80230000000000001</v>
      </c>
      <c r="C272" t="s">
        <v>490</v>
      </c>
    </row>
    <row r="273" spans="1:3" x14ac:dyDescent="0.35">
      <c r="A273" t="s">
        <v>499</v>
      </c>
      <c r="B273">
        <v>0.80449999999999999</v>
      </c>
      <c r="C273" t="s">
        <v>500</v>
      </c>
    </row>
    <row r="274" spans="1:3" x14ac:dyDescent="0.35">
      <c r="A274" t="s">
        <v>511</v>
      </c>
      <c r="B274">
        <v>0.67989999999999995</v>
      </c>
      <c r="C274" t="s">
        <v>512</v>
      </c>
    </row>
    <row r="275" spans="1:3" x14ac:dyDescent="0.35">
      <c r="A275" t="s">
        <v>509</v>
      </c>
      <c r="B275">
        <v>0.84989999999999999</v>
      </c>
      <c r="C275" t="s">
        <v>510</v>
      </c>
    </row>
    <row r="276" spans="1:3" x14ac:dyDescent="0.35">
      <c r="A276" t="s">
        <v>521</v>
      </c>
      <c r="B276">
        <v>0.72519999999999996</v>
      </c>
      <c r="C276" t="s">
        <v>522</v>
      </c>
    </row>
    <row r="277" spans="1:3" x14ac:dyDescent="0.35">
      <c r="A277" t="s">
        <v>532</v>
      </c>
      <c r="B277">
        <v>0.73650000000000004</v>
      </c>
      <c r="C277" t="s">
        <v>533</v>
      </c>
    </row>
    <row r="278" spans="1:3" x14ac:dyDescent="0.35">
      <c r="A278" t="s">
        <v>540</v>
      </c>
      <c r="B278">
        <v>0.74790000000000001</v>
      </c>
      <c r="C278" t="s">
        <v>541</v>
      </c>
    </row>
    <row r="279" spans="1:3" x14ac:dyDescent="0.35">
      <c r="A279" t="s">
        <v>548</v>
      </c>
      <c r="B279">
        <v>0.75690000000000002</v>
      </c>
      <c r="C279" t="s">
        <v>549</v>
      </c>
    </row>
    <row r="280" spans="1:3" x14ac:dyDescent="0.35">
      <c r="A280" t="s">
        <v>897</v>
      </c>
      <c r="B280">
        <v>0.77049999999999996</v>
      </c>
      <c r="C280" t="s">
        <v>898</v>
      </c>
    </row>
    <row r="281" spans="1:3" x14ac:dyDescent="0.35">
      <c r="A281" t="s">
        <v>556</v>
      </c>
      <c r="B281">
        <v>0.77280000000000004</v>
      </c>
      <c r="C281" t="s">
        <v>557</v>
      </c>
    </row>
    <row r="282" spans="1:3" x14ac:dyDescent="0.35">
      <c r="A282" t="s">
        <v>564</v>
      </c>
      <c r="B282">
        <v>0.78190000000000004</v>
      </c>
      <c r="C282" t="s">
        <v>565</v>
      </c>
    </row>
    <row r="283" spans="1:3" x14ac:dyDescent="0.35">
      <c r="A283" t="s">
        <v>899</v>
      </c>
      <c r="B283">
        <v>0.91559999999999997</v>
      </c>
      <c r="C283" t="s">
        <v>900</v>
      </c>
    </row>
    <row r="284" spans="1:3" x14ac:dyDescent="0.35">
      <c r="A284" t="s">
        <v>572</v>
      </c>
      <c r="B284">
        <v>0.79320000000000002</v>
      </c>
      <c r="C284" t="s">
        <v>573</v>
      </c>
    </row>
    <row r="285" spans="1:3" x14ac:dyDescent="0.35">
      <c r="A285" t="s">
        <v>519</v>
      </c>
      <c r="B285">
        <v>0.99719999999999998</v>
      </c>
      <c r="C285" t="s">
        <v>520</v>
      </c>
    </row>
    <row r="286" spans="1:3" x14ac:dyDescent="0.35">
      <c r="A286" t="s">
        <v>580</v>
      </c>
      <c r="B286">
        <v>0.80230000000000001</v>
      </c>
      <c r="C286" t="s">
        <v>581</v>
      </c>
    </row>
    <row r="287" spans="1:3" x14ac:dyDescent="0.35">
      <c r="A287" t="s">
        <v>588</v>
      </c>
      <c r="B287">
        <v>0.80449999999999999</v>
      </c>
      <c r="C287" t="s">
        <v>589</v>
      </c>
    </row>
    <row r="288" spans="1:3" x14ac:dyDescent="0.35">
      <c r="A288" t="s">
        <v>530</v>
      </c>
      <c r="B288">
        <v>1.0198</v>
      </c>
      <c r="C288" t="s">
        <v>531</v>
      </c>
    </row>
    <row r="289" spans="1:3" x14ac:dyDescent="0.35">
      <c r="A289" t="s">
        <v>594</v>
      </c>
      <c r="B289">
        <v>0.84989999999999999</v>
      </c>
      <c r="C289" t="s">
        <v>595</v>
      </c>
    </row>
    <row r="290" spans="1:3" x14ac:dyDescent="0.35">
      <c r="A290" t="s">
        <v>538</v>
      </c>
      <c r="B290">
        <v>1.0720000000000001</v>
      </c>
      <c r="C290" t="s">
        <v>539</v>
      </c>
    </row>
    <row r="291" spans="1:3" x14ac:dyDescent="0.35">
      <c r="A291" t="s">
        <v>546</v>
      </c>
      <c r="B291">
        <v>1.1332</v>
      </c>
      <c r="C291" t="s">
        <v>547</v>
      </c>
    </row>
    <row r="292" spans="1:3" x14ac:dyDescent="0.35">
      <c r="A292" t="s">
        <v>437</v>
      </c>
      <c r="B292">
        <v>2.2663000000000002</v>
      </c>
      <c r="C292" t="s">
        <v>438</v>
      </c>
    </row>
    <row r="293" spans="1:3" x14ac:dyDescent="0.35">
      <c r="A293" t="s">
        <v>562</v>
      </c>
      <c r="B293">
        <v>1.2873000000000001</v>
      </c>
      <c r="C293" t="s">
        <v>563</v>
      </c>
    </row>
    <row r="294" spans="1:3" x14ac:dyDescent="0.35">
      <c r="A294" t="s">
        <v>584</v>
      </c>
      <c r="B294">
        <v>7.8624000000000001</v>
      </c>
      <c r="C294" t="s">
        <v>585</v>
      </c>
    </row>
    <row r="295" spans="1:3" x14ac:dyDescent="0.35">
      <c r="A295" t="s">
        <v>901</v>
      </c>
      <c r="B295">
        <v>3.8502000000000001</v>
      </c>
      <c r="C295" t="s">
        <v>488</v>
      </c>
    </row>
    <row r="296" spans="1:3" x14ac:dyDescent="0.35">
      <c r="A296" t="s">
        <v>902</v>
      </c>
      <c r="B296">
        <v>4.07</v>
      </c>
      <c r="C296" t="s">
        <v>903</v>
      </c>
    </row>
    <row r="297" spans="1:3" x14ac:dyDescent="0.35">
      <c r="A297" t="s">
        <v>1074</v>
      </c>
      <c r="B297">
        <v>5.7793999999999999</v>
      </c>
      <c r="C297" t="s">
        <v>1075</v>
      </c>
    </row>
    <row r="298" spans="1:3" x14ac:dyDescent="0.35">
      <c r="A298" t="s">
        <v>600</v>
      </c>
      <c r="B298">
        <v>0.99719999999999998</v>
      </c>
      <c r="C298" t="s">
        <v>601</v>
      </c>
    </row>
    <row r="299" spans="1:3" x14ac:dyDescent="0.35">
      <c r="A299" t="s">
        <v>1066</v>
      </c>
      <c r="B299">
        <v>2.0261</v>
      </c>
      <c r="C299" t="s">
        <v>1067</v>
      </c>
    </row>
    <row r="300" spans="1:3" x14ac:dyDescent="0.35">
      <c r="A300" t="s">
        <v>606</v>
      </c>
      <c r="B300">
        <v>1.0198</v>
      </c>
      <c r="C300" t="s">
        <v>607</v>
      </c>
    </row>
    <row r="301" spans="1:3" x14ac:dyDescent="0.35">
      <c r="A301" t="s">
        <v>612</v>
      </c>
      <c r="B301">
        <v>1.0720000000000001</v>
      </c>
      <c r="C301" t="s">
        <v>613</v>
      </c>
    </row>
    <row r="302" spans="1:3" x14ac:dyDescent="0.35">
      <c r="A302" t="s">
        <v>618</v>
      </c>
      <c r="B302">
        <v>1.1332</v>
      </c>
      <c r="C302" t="s">
        <v>619</v>
      </c>
    </row>
    <row r="303" spans="1:3" x14ac:dyDescent="0.35">
      <c r="A303" t="s">
        <v>570</v>
      </c>
      <c r="B303">
        <v>1.4731000000000001</v>
      </c>
      <c r="C303" t="s">
        <v>571</v>
      </c>
    </row>
    <row r="304" spans="1:3" x14ac:dyDescent="0.35">
      <c r="A304" t="s">
        <v>447</v>
      </c>
      <c r="B304">
        <v>2.6455000000000002</v>
      </c>
      <c r="C304" t="s">
        <v>448</v>
      </c>
    </row>
    <row r="305" spans="1:3" x14ac:dyDescent="0.35">
      <c r="A305" t="s">
        <v>586</v>
      </c>
      <c r="B305">
        <v>1.6771</v>
      </c>
      <c r="C305" t="s">
        <v>587</v>
      </c>
    </row>
    <row r="306" spans="1:3" x14ac:dyDescent="0.35">
      <c r="A306" t="s">
        <v>578</v>
      </c>
      <c r="B306">
        <v>1.6091</v>
      </c>
      <c r="C306" t="s">
        <v>579</v>
      </c>
    </row>
    <row r="307" spans="1:3" x14ac:dyDescent="0.35">
      <c r="A307" t="s">
        <v>624</v>
      </c>
      <c r="B307">
        <v>1.2464999999999999</v>
      </c>
      <c r="C307" t="s">
        <v>625</v>
      </c>
    </row>
    <row r="308" spans="1:3" x14ac:dyDescent="0.35">
      <c r="A308" t="s">
        <v>630</v>
      </c>
      <c r="B308">
        <v>1.2873000000000001</v>
      </c>
      <c r="C308" t="s">
        <v>631</v>
      </c>
    </row>
    <row r="309" spans="1:3" x14ac:dyDescent="0.35">
      <c r="A309" t="s">
        <v>636</v>
      </c>
      <c r="B309">
        <v>1.3597999999999999</v>
      </c>
      <c r="C309" t="s">
        <v>637</v>
      </c>
    </row>
    <row r="310" spans="1:3" x14ac:dyDescent="0.35">
      <c r="A310" t="s">
        <v>590</v>
      </c>
      <c r="B310">
        <v>4.8840000000000003</v>
      </c>
      <c r="C310" t="s">
        <v>591</v>
      </c>
    </row>
    <row r="311" spans="1:3" x14ac:dyDescent="0.35">
      <c r="A311" t="s">
        <v>642</v>
      </c>
      <c r="B311">
        <v>1.4164000000000001</v>
      </c>
      <c r="C311" t="s">
        <v>643</v>
      </c>
    </row>
    <row r="312" spans="1:3" x14ac:dyDescent="0.35">
      <c r="A312" t="s">
        <v>648</v>
      </c>
      <c r="B312">
        <v>1.4278</v>
      </c>
      <c r="C312" t="s">
        <v>649</v>
      </c>
    </row>
    <row r="313" spans="1:3" x14ac:dyDescent="0.35">
      <c r="A313" t="s">
        <v>652</v>
      </c>
      <c r="B313">
        <v>1.4346000000000001</v>
      </c>
      <c r="C313" t="s">
        <v>653</v>
      </c>
    </row>
    <row r="314" spans="1:3" x14ac:dyDescent="0.35">
      <c r="A314" t="s">
        <v>656</v>
      </c>
      <c r="B314">
        <v>1.4503999999999999</v>
      </c>
      <c r="C314" t="s">
        <v>657</v>
      </c>
    </row>
    <row r="315" spans="1:3" x14ac:dyDescent="0.35">
      <c r="A315" t="s">
        <v>427</v>
      </c>
      <c r="B315">
        <v>1.8357000000000001</v>
      </c>
      <c r="C315" t="s">
        <v>428</v>
      </c>
    </row>
    <row r="316" spans="1:3" x14ac:dyDescent="0.35">
      <c r="A316" t="s">
        <v>660</v>
      </c>
      <c r="B316">
        <v>1.4731000000000001</v>
      </c>
      <c r="C316" t="s">
        <v>661</v>
      </c>
    </row>
    <row r="317" spans="1:3" x14ac:dyDescent="0.35">
      <c r="A317" t="s">
        <v>662</v>
      </c>
      <c r="B317">
        <v>1.4912000000000001</v>
      </c>
      <c r="C317" t="s">
        <v>663</v>
      </c>
    </row>
    <row r="318" spans="1:3" x14ac:dyDescent="0.35">
      <c r="A318" t="s">
        <v>664</v>
      </c>
      <c r="B318">
        <v>1.4958</v>
      </c>
      <c r="C318" t="s">
        <v>665</v>
      </c>
    </row>
    <row r="319" spans="1:3" x14ac:dyDescent="0.35">
      <c r="A319" t="s">
        <v>904</v>
      </c>
      <c r="B319">
        <v>5.2910000000000004</v>
      </c>
      <c r="C319" t="s">
        <v>905</v>
      </c>
    </row>
    <row r="320" spans="1:3" x14ac:dyDescent="0.35">
      <c r="A320" t="s">
        <v>515</v>
      </c>
      <c r="B320">
        <v>3.0525000000000002</v>
      </c>
      <c r="C320" t="s">
        <v>516</v>
      </c>
    </row>
    <row r="321" spans="1:3" x14ac:dyDescent="0.35">
      <c r="A321" t="s">
        <v>425</v>
      </c>
      <c r="B321">
        <v>1.5456000000000001</v>
      </c>
      <c r="C321" t="s">
        <v>426</v>
      </c>
    </row>
    <row r="322" spans="1:3" x14ac:dyDescent="0.35">
      <c r="A322" t="s">
        <v>465</v>
      </c>
      <c r="B322">
        <v>2.6455000000000002</v>
      </c>
      <c r="C322" t="s">
        <v>466</v>
      </c>
    </row>
    <row r="323" spans="1:3" x14ac:dyDescent="0.35">
      <c r="A323" t="s">
        <v>666</v>
      </c>
      <c r="B323">
        <v>1.6091</v>
      </c>
      <c r="C323" t="s">
        <v>667</v>
      </c>
    </row>
    <row r="324" spans="1:3" x14ac:dyDescent="0.35">
      <c r="A324" t="s">
        <v>445</v>
      </c>
      <c r="B324">
        <v>2.2663000000000002</v>
      </c>
      <c r="C324" t="s">
        <v>446</v>
      </c>
    </row>
    <row r="325" spans="1:3" x14ac:dyDescent="0.35">
      <c r="A325" t="s">
        <v>668</v>
      </c>
      <c r="B325">
        <v>1.6997</v>
      </c>
      <c r="C325" t="s">
        <v>669</v>
      </c>
    </row>
    <row r="326" spans="1:3" x14ac:dyDescent="0.35">
      <c r="A326" t="s">
        <v>574</v>
      </c>
      <c r="B326">
        <v>4.5788000000000002</v>
      </c>
      <c r="C326" t="s">
        <v>575</v>
      </c>
    </row>
    <row r="327" spans="1:3" x14ac:dyDescent="0.35">
      <c r="A327" t="s">
        <v>505</v>
      </c>
      <c r="B327">
        <v>3.0525000000000002</v>
      </c>
      <c r="C327" t="s">
        <v>506</v>
      </c>
    </row>
    <row r="328" spans="1:3" x14ac:dyDescent="0.35">
      <c r="A328" t="s">
        <v>670</v>
      </c>
      <c r="B328">
        <v>1.7337</v>
      </c>
      <c r="C328" t="s">
        <v>671</v>
      </c>
    </row>
    <row r="329" spans="1:3" x14ac:dyDescent="0.35">
      <c r="A329" t="s">
        <v>416</v>
      </c>
      <c r="B329">
        <v>2.2663000000000002</v>
      </c>
      <c r="C329" t="s">
        <v>417</v>
      </c>
    </row>
    <row r="330" spans="1:3" x14ac:dyDescent="0.35">
      <c r="A330" t="s">
        <v>672</v>
      </c>
      <c r="B330">
        <v>2.0600999999999998</v>
      </c>
      <c r="C330" t="s">
        <v>673</v>
      </c>
    </row>
    <row r="331" spans="1:3" x14ac:dyDescent="0.35">
      <c r="A331" t="s">
        <v>674</v>
      </c>
      <c r="B331">
        <v>2.1438999999999999</v>
      </c>
      <c r="C331" t="s">
        <v>675</v>
      </c>
    </row>
    <row r="332" spans="1:3" x14ac:dyDescent="0.35">
      <c r="A332" t="s">
        <v>435</v>
      </c>
      <c r="B332">
        <v>2.2435999999999998</v>
      </c>
      <c r="C332" t="s">
        <v>436</v>
      </c>
    </row>
    <row r="333" spans="1:3" x14ac:dyDescent="0.35">
      <c r="A333" t="s">
        <v>419</v>
      </c>
      <c r="B333">
        <v>2.2663000000000002</v>
      </c>
      <c r="C333" t="s">
        <v>420</v>
      </c>
    </row>
    <row r="334" spans="1:3" x14ac:dyDescent="0.35">
      <c r="A334" t="s">
        <v>431</v>
      </c>
      <c r="B334">
        <v>2.4074</v>
      </c>
      <c r="C334" t="s">
        <v>432</v>
      </c>
    </row>
    <row r="335" spans="1:3" x14ac:dyDescent="0.35">
      <c r="A335" t="s">
        <v>485</v>
      </c>
      <c r="B335">
        <v>2.7757000000000001</v>
      </c>
      <c r="C335" t="s">
        <v>486</v>
      </c>
    </row>
    <row r="336" spans="1:3" x14ac:dyDescent="0.35">
      <c r="A336" t="s">
        <v>441</v>
      </c>
      <c r="B336">
        <v>3.0525000000000002</v>
      </c>
      <c r="C336" t="s">
        <v>442</v>
      </c>
    </row>
    <row r="337" spans="1:3" x14ac:dyDescent="0.35">
      <c r="A337" t="s">
        <v>536</v>
      </c>
      <c r="B337">
        <v>5.7752999999999997</v>
      </c>
      <c r="C337" t="s">
        <v>537</v>
      </c>
    </row>
    <row r="338" spans="1:3" x14ac:dyDescent="0.35">
      <c r="A338" t="s">
        <v>487</v>
      </c>
      <c r="B338">
        <v>3.8502000000000001</v>
      </c>
      <c r="C338" t="s">
        <v>488</v>
      </c>
    </row>
    <row r="339" spans="1:3" x14ac:dyDescent="0.35">
      <c r="A339" t="s">
        <v>906</v>
      </c>
      <c r="B339">
        <v>4.8128000000000002</v>
      </c>
      <c r="C339" t="s">
        <v>907</v>
      </c>
    </row>
    <row r="340" spans="1:3" x14ac:dyDescent="0.35">
      <c r="A340" t="s">
        <v>1072</v>
      </c>
      <c r="B340">
        <v>6.1050000000000004</v>
      </c>
      <c r="C340" t="s">
        <v>1073</v>
      </c>
    </row>
    <row r="341" spans="1:3" x14ac:dyDescent="0.35">
      <c r="A341" t="s">
        <v>1070</v>
      </c>
      <c r="B341">
        <v>3.9072</v>
      </c>
      <c r="C341" t="s">
        <v>1071</v>
      </c>
    </row>
    <row r="342" spans="1:3" x14ac:dyDescent="0.35">
      <c r="A342" t="s">
        <v>523</v>
      </c>
      <c r="B342">
        <v>4.07</v>
      </c>
      <c r="C342" t="s">
        <v>524</v>
      </c>
    </row>
    <row r="343" spans="1:3" x14ac:dyDescent="0.35">
      <c r="A343" t="s">
        <v>526</v>
      </c>
      <c r="B343">
        <v>3.0525000000000002</v>
      </c>
      <c r="C343" t="s">
        <v>527</v>
      </c>
    </row>
    <row r="344" spans="1:3" x14ac:dyDescent="0.35">
      <c r="A344" t="s">
        <v>534</v>
      </c>
      <c r="B344">
        <v>3.3578000000000001</v>
      </c>
      <c r="C344" t="s">
        <v>535</v>
      </c>
    </row>
    <row r="345" spans="1:3" x14ac:dyDescent="0.35">
      <c r="A345" t="s">
        <v>497</v>
      </c>
      <c r="B345">
        <v>4.0293000000000001</v>
      </c>
      <c r="C345" t="s">
        <v>498</v>
      </c>
    </row>
    <row r="346" spans="1:3" x14ac:dyDescent="0.35">
      <c r="A346" t="s">
        <v>576</v>
      </c>
      <c r="B346">
        <v>4.07</v>
      </c>
      <c r="C346" t="s">
        <v>577</v>
      </c>
    </row>
    <row r="347" spans="1:3" x14ac:dyDescent="0.35">
      <c r="A347" t="s">
        <v>507</v>
      </c>
      <c r="B347">
        <v>4.1635999999999997</v>
      </c>
      <c r="C347" t="s">
        <v>508</v>
      </c>
    </row>
    <row r="348" spans="1:3" x14ac:dyDescent="0.35">
      <c r="A348" t="s">
        <v>542</v>
      </c>
      <c r="B348">
        <v>4.0293000000000001</v>
      </c>
      <c r="C348" t="s">
        <v>543</v>
      </c>
    </row>
    <row r="349" spans="1:3" x14ac:dyDescent="0.35">
      <c r="A349" t="s">
        <v>614</v>
      </c>
      <c r="B349">
        <v>7.7838000000000003</v>
      </c>
      <c r="C349" t="s">
        <v>615</v>
      </c>
    </row>
    <row r="350" spans="1:3" x14ac:dyDescent="0.35">
      <c r="A350" t="s">
        <v>558</v>
      </c>
      <c r="B350">
        <v>4.1635999999999997</v>
      </c>
      <c r="C350" t="s">
        <v>559</v>
      </c>
    </row>
    <row r="351" spans="1:3" x14ac:dyDescent="0.35">
      <c r="A351" t="s">
        <v>517</v>
      </c>
      <c r="B351">
        <v>4.3223000000000003</v>
      </c>
      <c r="C351" t="s">
        <v>518</v>
      </c>
    </row>
    <row r="352" spans="1:3" x14ac:dyDescent="0.35">
      <c r="A352" t="s">
        <v>528</v>
      </c>
      <c r="B352">
        <v>4.3346</v>
      </c>
      <c r="C352" t="s">
        <v>529</v>
      </c>
    </row>
    <row r="353" spans="1:3" x14ac:dyDescent="0.35">
      <c r="A353" t="s">
        <v>566</v>
      </c>
      <c r="B353">
        <v>4.3346</v>
      </c>
      <c r="C353" t="s">
        <v>567</v>
      </c>
    </row>
    <row r="354" spans="1:3" x14ac:dyDescent="0.35">
      <c r="A354" t="s">
        <v>582</v>
      </c>
      <c r="B354">
        <v>4.5788000000000002</v>
      </c>
      <c r="C354" t="s">
        <v>583</v>
      </c>
    </row>
    <row r="355" spans="1:3" x14ac:dyDescent="0.35">
      <c r="A355" t="s">
        <v>461</v>
      </c>
      <c r="B355">
        <v>4.07</v>
      </c>
      <c r="C355" t="s">
        <v>462</v>
      </c>
    </row>
    <row r="356" spans="1:3" x14ac:dyDescent="0.35">
      <c r="A356" t="s">
        <v>602</v>
      </c>
      <c r="B356">
        <v>5.3723999999999998</v>
      </c>
      <c r="C356" t="s">
        <v>603</v>
      </c>
    </row>
    <row r="357" spans="1:3" x14ac:dyDescent="0.35">
      <c r="A357" t="s">
        <v>495</v>
      </c>
      <c r="B357">
        <v>2.8896999999999999</v>
      </c>
      <c r="C357" t="s">
        <v>496</v>
      </c>
    </row>
    <row r="358" spans="1:3" x14ac:dyDescent="0.35">
      <c r="A358" t="s">
        <v>560</v>
      </c>
      <c r="B358">
        <v>7.4378000000000002</v>
      </c>
      <c r="C358" t="s">
        <v>561</v>
      </c>
    </row>
    <row r="359" spans="1:3" x14ac:dyDescent="0.35">
      <c r="A359" t="s">
        <v>467</v>
      </c>
      <c r="B359">
        <v>2.6861999999999999</v>
      </c>
      <c r="C359" t="s">
        <v>468</v>
      </c>
    </row>
    <row r="360" spans="1:3" x14ac:dyDescent="0.35">
      <c r="A360" t="s">
        <v>477</v>
      </c>
      <c r="B360">
        <v>2.8877000000000002</v>
      </c>
      <c r="C360" t="s">
        <v>478</v>
      </c>
    </row>
    <row r="361" spans="1:3" x14ac:dyDescent="0.35">
      <c r="A361" t="s">
        <v>552</v>
      </c>
      <c r="B361">
        <v>6.9188999999999998</v>
      </c>
      <c r="C361" t="s">
        <v>553</v>
      </c>
    </row>
    <row r="362" spans="1:3" x14ac:dyDescent="0.35">
      <c r="A362" t="s">
        <v>622</v>
      </c>
      <c r="B362">
        <v>15.567600000000001</v>
      </c>
      <c r="C362" t="s">
        <v>623</v>
      </c>
    </row>
    <row r="363" spans="1:3" x14ac:dyDescent="0.35">
      <c r="A363" t="s">
        <v>544</v>
      </c>
      <c r="B363">
        <v>6.4865000000000004</v>
      </c>
      <c r="C363" t="s">
        <v>545</v>
      </c>
    </row>
    <row r="364" spans="1:3" x14ac:dyDescent="0.35">
      <c r="A364" t="s">
        <v>598</v>
      </c>
      <c r="B364">
        <v>8.0432000000000006</v>
      </c>
      <c r="C364" t="s">
        <v>599</v>
      </c>
    </row>
    <row r="365" spans="1:3" x14ac:dyDescent="0.35">
      <c r="A365" t="s">
        <v>568</v>
      </c>
      <c r="B365">
        <v>7.7838000000000003</v>
      </c>
      <c r="C365" t="s">
        <v>569</v>
      </c>
    </row>
    <row r="366" spans="1:3" x14ac:dyDescent="0.35">
      <c r="A366" t="s">
        <v>616</v>
      </c>
      <c r="B366">
        <v>10.466799999999999</v>
      </c>
      <c r="C366" t="s">
        <v>617</v>
      </c>
    </row>
    <row r="367" spans="1:3" x14ac:dyDescent="0.35">
      <c r="A367" t="s">
        <v>640</v>
      </c>
      <c r="B367">
        <v>22.313500000000001</v>
      </c>
      <c r="C367" t="s">
        <v>641</v>
      </c>
    </row>
    <row r="368" spans="1:3" x14ac:dyDescent="0.35">
      <c r="A368" t="s">
        <v>457</v>
      </c>
      <c r="B368">
        <v>2.6861999999999999</v>
      </c>
      <c r="C368" t="s">
        <v>458</v>
      </c>
    </row>
    <row r="369" spans="1:3" x14ac:dyDescent="0.35">
      <c r="A369" t="s">
        <v>604</v>
      </c>
      <c r="B369">
        <v>8.3675999999999995</v>
      </c>
      <c r="C369" t="s">
        <v>605</v>
      </c>
    </row>
    <row r="370" spans="1:3" x14ac:dyDescent="0.35">
      <c r="A370" t="s">
        <v>908</v>
      </c>
      <c r="B370">
        <v>6.4865000000000004</v>
      </c>
      <c r="C370" t="s">
        <v>909</v>
      </c>
    </row>
    <row r="371" spans="1:3" x14ac:dyDescent="0.35">
      <c r="A371" t="s">
        <v>910</v>
      </c>
      <c r="B371">
        <v>8.2162000000000006</v>
      </c>
      <c r="C371" t="s">
        <v>911</v>
      </c>
    </row>
    <row r="372" spans="1:3" x14ac:dyDescent="0.35">
      <c r="A372" t="s">
        <v>912</v>
      </c>
      <c r="B372">
        <v>18.712499999999999</v>
      </c>
      <c r="C372" t="s">
        <v>913</v>
      </c>
    </row>
    <row r="373" spans="1:3" x14ac:dyDescent="0.35">
      <c r="A373" t="s">
        <v>646</v>
      </c>
      <c r="B373">
        <v>25.1204</v>
      </c>
      <c r="C373" t="s">
        <v>647</v>
      </c>
    </row>
    <row r="374" spans="1:3" x14ac:dyDescent="0.35">
      <c r="A374" t="s">
        <v>628</v>
      </c>
      <c r="B374">
        <v>16.7469</v>
      </c>
      <c r="C374" t="s">
        <v>629</v>
      </c>
    </row>
    <row r="375" spans="1:3" x14ac:dyDescent="0.35">
      <c r="A375" t="s">
        <v>610</v>
      </c>
      <c r="B375">
        <v>8.3734999999999999</v>
      </c>
      <c r="C375" t="s">
        <v>611</v>
      </c>
    </row>
    <row r="376" spans="1:3" x14ac:dyDescent="0.35">
      <c r="A376" t="s">
        <v>634</v>
      </c>
      <c r="B376">
        <v>17.454499999999999</v>
      </c>
      <c r="C376" t="s">
        <v>635</v>
      </c>
    </row>
    <row r="377" spans="1:3" x14ac:dyDescent="0.35">
      <c r="A377" t="s">
        <v>914</v>
      </c>
      <c r="B377">
        <v>5.8852000000000002</v>
      </c>
      <c r="C377" t="s">
        <v>915</v>
      </c>
    </row>
    <row r="378" spans="1:3" x14ac:dyDescent="0.35">
      <c r="A378" t="s">
        <v>1068</v>
      </c>
      <c r="B378">
        <v>16.416699999999999</v>
      </c>
      <c r="C378" t="s">
        <v>1069</v>
      </c>
    </row>
    <row r="379" spans="1:3" x14ac:dyDescent="0.35">
      <c r="A379" t="s">
        <v>916</v>
      </c>
      <c r="B379">
        <v>17.006399999999999</v>
      </c>
      <c r="C379" t="s">
        <v>917</v>
      </c>
    </row>
    <row r="380" spans="1:3" x14ac:dyDescent="0.35">
      <c r="A380" t="s">
        <v>918</v>
      </c>
      <c r="B380">
        <v>11.156700000000001</v>
      </c>
      <c r="C380" t="s">
        <v>919</v>
      </c>
    </row>
    <row r="381" spans="1:3" x14ac:dyDescent="0.35">
      <c r="A381" t="s">
        <v>920</v>
      </c>
      <c r="B381">
        <v>34.126399999999997</v>
      </c>
      <c r="C381" t="s">
        <v>921</v>
      </c>
    </row>
    <row r="382" spans="1:3" x14ac:dyDescent="0.35">
      <c r="A382" t="s">
        <v>620</v>
      </c>
      <c r="B382">
        <v>8.0432000000000006</v>
      </c>
      <c r="C382" t="s">
        <v>621</v>
      </c>
    </row>
    <row r="383" spans="1:3" x14ac:dyDescent="0.35">
      <c r="A383" t="s">
        <v>922</v>
      </c>
      <c r="B383">
        <v>2.0125000000000002</v>
      </c>
      <c r="C383" t="s">
        <v>923</v>
      </c>
    </row>
    <row r="384" spans="1:3" x14ac:dyDescent="0.35">
      <c r="A384" t="s">
        <v>924</v>
      </c>
      <c r="B384">
        <v>16.491399999999999</v>
      </c>
      <c r="C384" t="s">
        <v>925</v>
      </c>
    </row>
    <row r="385" spans="1:3" x14ac:dyDescent="0.35">
      <c r="A385" t="s">
        <v>926</v>
      </c>
      <c r="B385">
        <v>15.2727</v>
      </c>
      <c r="C385" t="s">
        <v>927</v>
      </c>
    </row>
    <row r="386" spans="1:3" x14ac:dyDescent="0.35">
      <c r="A386" t="s">
        <v>928</v>
      </c>
      <c r="B386">
        <v>16.57</v>
      </c>
      <c r="C386" t="s">
        <v>929</v>
      </c>
    </row>
    <row r="387" spans="1:3" x14ac:dyDescent="0.35">
      <c r="A387" t="s">
        <v>930</v>
      </c>
      <c r="B387">
        <v>16.5504</v>
      </c>
      <c r="C387" t="s">
        <v>931</v>
      </c>
    </row>
    <row r="388" spans="1:3" x14ac:dyDescent="0.35">
      <c r="A388" t="s">
        <v>1064</v>
      </c>
      <c r="B388">
        <v>6.9130000000000003</v>
      </c>
      <c r="C388" t="s">
        <v>1065</v>
      </c>
    </row>
    <row r="389" spans="1:3" x14ac:dyDescent="0.35">
      <c r="A389" t="s">
        <v>626</v>
      </c>
      <c r="B389">
        <v>8.3734999999999999</v>
      </c>
      <c r="C389" t="s">
        <v>627</v>
      </c>
    </row>
    <row r="390" spans="1:3" x14ac:dyDescent="0.35">
      <c r="A390" t="s">
        <v>554</v>
      </c>
      <c r="B390">
        <v>9.8279999999999994</v>
      </c>
      <c r="C390" t="s">
        <v>555</v>
      </c>
    </row>
    <row r="391" spans="1:3" x14ac:dyDescent="0.35">
      <c r="A391" t="s">
        <v>592</v>
      </c>
      <c r="B391">
        <v>8.0196000000000005</v>
      </c>
      <c r="C391" t="s">
        <v>593</v>
      </c>
    </row>
    <row r="392" spans="1:3" x14ac:dyDescent="0.35">
      <c r="A392" t="s">
        <v>932</v>
      </c>
      <c r="B392">
        <v>14.270300000000001</v>
      </c>
      <c r="C392" t="s">
        <v>933</v>
      </c>
    </row>
    <row r="393" spans="1:3" x14ac:dyDescent="0.35">
      <c r="A393" t="s">
        <v>654</v>
      </c>
      <c r="B393">
        <v>16.086500000000001</v>
      </c>
      <c r="C393" t="s">
        <v>655</v>
      </c>
    </row>
    <row r="394" spans="1:3" x14ac:dyDescent="0.35">
      <c r="A394" t="s">
        <v>650</v>
      </c>
      <c r="B394">
        <v>15.567600000000001</v>
      </c>
      <c r="C394" t="s">
        <v>651</v>
      </c>
    </row>
    <row r="395" spans="1:3" x14ac:dyDescent="0.35">
      <c r="A395" t="s">
        <v>658</v>
      </c>
      <c r="B395">
        <v>16.7469</v>
      </c>
      <c r="C395" t="s">
        <v>659</v>
      </c>
    </row>
    <row r="396" spans="1:3" x14ac:dyDescent="0.35">
      <c r="A396" t="s">
        <v>550</v>
      </c>
      <c r="B396">
        <v>4.07</v>
      </c>
      <c r="C396" t="s">
        <v>551</v>
      </c>
    </row>
    <row r="397" spans="1:3" x14ac:dyDescent="0.35">
      <c r="A397" t="s">
        <v>475</v>
      </c>
      <c r="B397">
        <v>2.6861999999999999</v>
      </c>
      <c r="C397" t="s">
        <v>476</v>
      </c>
    </row>
    <row r="398" spans="1:3" x14ac:dyDescent="0.35">
      <c r="A398" t="s">
        <v>934</v>
      </c>
      <c r="B398">
        <v>16.636800000000001</v>
      </c>
      <c r="C398" t="s">
        <v>935</v>
      </c>
    </row>
    <row r="399" spans="1:3" x14ac:dyDescent="0.35">
      <c r="A399" t="s">
        <v>596</v>
      </c>
      <c r="B399">
        <v>5.0875000000000004</v>
      </c>
      <c r="C399" t="s">
        <v>597</v>
      </c>
    </row>
    <row r="400" spans="1:3" x14ac:dyDescent="0.35">
      <c r="A400" t="s">
        <v>608</v>
      </c>
      <c r="B400">
        <v>6.1050000000000004</v>
      </c>
      <c r="C400" t="s">
        <v>609</v>
      </c>
    </row>
    <row r="401" spans="1:3" x14ac:dyDescent="0.35">
      <c r="A401" t="s">
        <v>936</v>
      </c>
      <c r="B401">
        <v>15.7346</v>
      </c>
      <c r="C401" t="s">
        <v>937</v>
      </c>
    </row>
    <row r="402" spans="1:3" x14ac:dyDescent="0.35">
      <c r="A402" t="s">
        <v>632</v>
      </c>
      <c r="B402">
        <v>11.675700000000001</v>
      </c>
      <c r="C402" t="s">
        <v>633</v>
      </c>
    </row>
    <row r="403" spans="1:3" x14ac:dyDescent="0.35">
      <c r="A403" t="s">
        <v>938</v>
      </c>
      <c r="B403">
        <v>16.921900000000001</v>
      </c>
      <c r="C403" t="s">
        <v>939</v>
      </c>
    </row>
    <row r="404" spans="1:3" x14ac:dyDescent="0.35">
      <c r="A404" t="s">
        <v>644</v>
      </c>
      <c r="B404">
        <v>12.973000000000001</v>
      </c>
      <c r="C404" t="s">
        <v>645</v>
      </c>
    </row>
    <row r="405" spans="1:3" x14ac:dyDescent="0.35">
      <c r="A405" t="s">
        <v>940</v>
      </c>
      <c r="B405">
        <v>15.827</v>
      </c>
      <c r="C405" t="s">
        <v>941</v>
      </c>
    </row>
    <row r="406" spans="1:3" x14ac:dyDescent="0.35">
      <c r="A406" t="s">
        <v>942</v>
      </c>
      <c r="B406">
        <v>8.1532999999999998</v>
      </c>
      <c r="C406" t="s">
        <v>943</v>
      </c>
    </row>
    <row r="407" spans="1:3" x14ac:dyDescent="0.35">
      <c r="A407" t="s">
        <v>638</v>
      </c>
      <c r="B407">
        <v>11.7936</v>
      </c>
      <c r="C407" t="s">
        <v>639</v>
      </c>
    </row>
    <row r="408" spans="1:3" x14ac:dyDescent="0.35">
      <c r="A408" t="s">
        <v>944</v>
      </c>
      <c r="B408">
        <v>8.0983000000000001</v>
      </c>
      <c r="C408" t="s">
        <v>945</v>
      </c>
    </row>
    <row r="409" spans="1:3" x14ac:dyDescent="0.35">
      <c r="A409" t="s">
        <v>946</v>
      </c>
      <c r="B409">
        <v>7.8624000000000001</v>
      </c>
      <c r="C409" t="s">
        <v>947</v>
      </c>
    </row>
    <row r="410" spans="1:3" x14ac:dyDescent="0.35">
      <c r="A410" t="s">
        <v>948</v>
      </c>
      <c r="B410">
        <v>23.587199999999999</v>
      </c>
      <c r="C410" t="s">
        <v>949</v>
      </c>
    </row>
    <row r="411" spans="1:3" x14ac:dyDescent="0.35">
      <c r="A411" t="s">
        <v>429</v>
      </c>
      <c r="B411">
        <v>19.655999999999999</v>
      </c>
      <c r="C411" t="s">
        <v>430</v>
      </c>
    </row>
    <row r="412" spans="1:3" x14ac:dyDescent="0.35">
      <c r="A412" t="s">
        <v>473</v>
      </c>
      <c r="B412">
        <v>61.491799999999998</v>
      </c>
      <c r="C412" t="s">
        <v>474</v>
      </c>
    </row>
    <row r="413" spans="1:3" x14ac:dyDescent="0.35">
      <c r="A413" t="s">
        <v>483</v>
      </c>
      <c r="B413">
        <v>68.3309</v>
      </c>
      <c r="C413" t="s">
        <v>484</v>
      </c>
    </row>
    <row r="414" spans="1:3" x14ac:dyDescent="0.35">
      <c r="A414" t="s">
        <v>493</v>
      </c>
      <c r="B414">
        <v>75.155000000000001</v>
      </c>
      <c r="C414" t="s">
        <v>494</v>
      </c>
    </row>
    <row r="415" spans="1:3" x14ac:dyDescent="0.35">
      <c r="A415" t="s">
        <v>503</v>
      </c>
      <c r="B415">
        <v>88.081699999999998</v>
      </c>
      <c r="C415" t="s">
        <v>504</v>
      </c>
    </row>
    <row r="416" spans="1:3" x14ac:dyDescent="0.35">
      <c r="A416" t="s">
        <v>513</v>
      </c>
      <c r="B416">
        <v>88.183899999999994</v>
      </c>
      <c r="C416" t="s">
        <v>514</v>
      </c>
    </row>
    <row r="417" spans="1:3" x14ac:dyDescent="0.35">
      <c r="A417" t="s">
        <v>433</v>
      </c>
      <c r="B417">
        <v>29.460799999999999</v>
      </c>
      <c r="C417" t="s">
        <v>434</v>
      </c>
    </row>
    <row r="418" spans="1:3" x14ac:dyDescent="0.35">
      <c r="A418" t="s">
        <v>422</v>
      </c>
      <c r="B418">
        <v>28.558900000000001</v>
      </c>
      <c r="C418" t="s">
        <v>423</v>
      </c>
    </row>
    <row r="419" spans="1:3" x14ac:dyDescent="0.35">
      <c r="A419" t="s">
        <v>463</v>
      </c>
      <c r="B419">
        <v>45.093000000000004</v>
      </c>
      <c r="C419" t="s">
        <v>464</v>
      </c>
    </row>
    <row r="420" spans="1:3" x14ac:dyDescent="0.35">
      <c r="A420" t="s">
        <v>443</v>
      </c>
      <c r="B420">
        <v>30.062000000000001</v>
      </c>
      <c r="C420" t="s">
        <v>444</v>
      </c>
    </row>
    <row r="421" spans="1:3" x14ac:dyDescent="0.35">
      <c r="A421" t="s">
        <v>453</v>
      </c>
      <c r="B421">
        <v>37.577500000000001</v>
      </c>
      <c r="C421" t="s">
        <v>454</v>
      </c>
    </row>
    <row r="422" spans="1:3" x14ac:dyDescent="0.35">
      <c r="A422" t="s">
        <v>950</v>
      </c>
      <c r="B422">
        <v>3.6141999999999999</v>
      </c>
      <c r="C422" t="s">
        <v>951</v>
      </c>
    </row>
    <row r="423" spans="1:3" x14ac:dyDescent="0.35">
      <c r="A423" t="s">
        <v>952</v>
      </c>
      <c r="B423">
        <v>9.2972999999999999</v>
      </c>
      <c r="C423" t="s">
        <v>953</v>
      </c>
    </row>
    <row r="424" spans="1:3" x14ac:dyDescent="0.35">
      <c r="A424" t="s">
        <v>954</v>
      </c>
      <c r="B424">
        <v>19.655999999999999</v>
      </c>
      <c r="C424" t="s">
        <v>955</v>
      </c>
    </row>
    <row r="425" spans="1:3" x14ac:dyDescent="0.35">
      <c r="A425" t="s">
        <v>956</v>
      </c>
      <c r="B425">
        <v>13.9459</v>
      </c>
      <c r="C425" t="s">
        <v>957</v>
      </c>
    </row>
  </sheetData>
  <sortState xmlns:xlrd2="http://schemas.microsoft.com/office/spreadsheetml/2017/richdata2" ref="A2:C259">
    <sortCondition ref="C2:C259"/>
    <sortCondition ref="A2:A25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9701-4626-4497-9C47-C8275EA3A0A5}">
  <dimension ref="A1:B389"/>
  <sheetViews>
    <sheetView workbookViewId="0"/>
  </sheetViews>
  <sheetFormatPr defaultRowHeight="14.5" x14ac:dyDescent="0.35"/>
  <cols>
    <col min="2" max="2" width="28.6328125" bestFit="1" customWidth="1"/>
  </cols>
  <sheetData>
    <row r="1" spans="1:2" x14ac:dyDescent="0.35">
      <c r="A1">
        <v>0.50890000000000002</v>
      </c>
      <c r="B1" t="s">
        <v>11</v>
      </c>
    </row>
    <row r="2" spans="1:2" x14ac:dyDescent="0.35">
      <c r="A2">
        <v>0.7369</v>
      </c>
      <c r="B2" t="s">
        <v>13</v>
      </c>
    </row>
    <row r="3" spans="1:2" x14ac:dyDescent="0.35">
      <c r="A3">
        <v>0.7631</v>
      </c>
      <c r="B3" t="s">
        <v>15</v>
      </c>
    </row>
    <row r="4" spans="1:2" x14ac:dyDescent="0.35">
      <c r="A4">
        <v>1.0175000000000001</v>
      </c>
      <c r="B4" t="s">
        <v>17</v>
      </c>
    </row>
    <row r="5" spans="1:2" x14ac:dyDescent="0.35">
      <c r="A5">
        <v>1.2723</v>
      </c>
      <c r="B5" t="s">
        <v>19</v>
      </c>
    </row>
    <row r="6" spans="1:2" x14ac:dyDescent="0.35">
      <c r="A6">
        <v>2.5442</v>
      </c>
      <c r="B6" t="s">
        <v>21</v>
      </c>
    </row>
    <row r="7" spans="1:2" x14ac:dyDescent="0.35">
      <c r="A7">
        <v>4.391</v>
      </c>
      <c r="B7" t="s">
        <v>23</v>
      </c>
    </row>
    <row r="8" spans="1:2" x14ac:dyDescent="0.35">
      <c r="A8">
        <v>5.4886999999999997</v>
      </c>
      <c r="B8" t="s">
        <v>25</v>
      </c>
    </row>
    <row r="9" spans="1:2" x14ac:dyDescent="0.35">
      <c r="A9">
        <v>6.5858999999999996</v>
      </c>
      <c r="B9" t="s">
        <v>27</v>
      </c>
    </row>
    <row r="10" spans="1:2" x14ac:dyDescent="0.35">
      <c r="A10">
        <v>7.4863</v>
      </c>
      <c r="B10" t="s">
        <v>29</v>
      </c>
    </row>
    <row r="11" spans="1:2" x14ac:dyDescent="0.35">
      <c r="A11">
        <v>7.5279999999999996</v>
      </c>
      <c r="B11" t="s">
        <v>31</v>
      </c>
    </row>
    <row r="12" spans="1:2" x14ac:dyDescent="0.35">
      <c r="A12">
        <v>7.7252000000000001</v>
      </c>
      <c r="B12" t="s">
        <v>33</v>
      </c>
    </row>
    <row r="13" spans="1:2" x14ac:dyDescent="0.35">
      <c r="A13">
        <v>8.0670999999999999</v>
      </c>
      <c r="B13" t="s">
        <v>35</v>
      </c>
    </row>
    <row r="14" spans="1:2" x14ac:dyDescent="0.35">
      <c r="A14">
        <v>9.8796999999999997</v>
      </c>
      <c r="B14" t="s">
        <v>37</v>
      </c>
    </row>
    <row r="15" spans="1:2" x14ac:dyDescent="0.35">
      <c r="A15">
        <v>10.431800000000001</v>
      </c>
      <c r="B15" t="s">
        <v>39</v>
      </c>
    </row>
    <row r="16" spans="1:2" x14ac:dyDescent="0.35">
      <c r="A16">
        <v>10.7546</v>
      </c>
      <c r="B16" t="s">
        <v>41</v>
      </c>
    </row>
    <row r="17" spans="1:2" x14ac:dyDescent="0.35">
      <c r="A17">
        <v>13.306800000000001</v>
      </c>
      <c r="B17" t="s">
        <v>43</v>
      </c>
    </row>
    <row r="18" spans="1:2" x14ac:dyDescent="0.35">
      <c r="A18">
        <v>13.6996</v>
      </c>
      <c r="B18" t="s">
        <v>45</v>
      </c>
    </row>
    <row r="19" spans="1:2" x14ac:dyDescent="0.35">
      <c r="A19">
        <v>13.893700000000001</v>
      </c>
      <c r="B19" t="s">
        <v>47</v>
      </c>
    </row>
    <row r="20" spans="1:2" x14ac:dyDescent="0.35">
      <c r="A20">
        <v>14.0886</v>
      </c>
      <c r="B20" t="s">
        <v>49</v>
      </c>
    </row>
    <row r="21" spans="1:2" x14ac:dyDescent="0.35">
      <c r="A21">
        <v>14.284800000000001</v>
      </c>
      <c r="B21" t="s">
        <v>51</v>
      </c>
    </row>
    <row r="22" spans="1:2" x14ac:dyDescent="0.35">
      <c r="A22">
        <v>14.6782</v>
      </c>
      <c r="B22" t="s">
        <v>53</v>
      </c>
    </row>
    <row r="23" spans="1:2" x14ac:dyDescent="0.35">
      <c r="A23">
        <v>18.1525</v>
      </c>
      <c r="B23" t="s">
        <v>55</v>
      </c>
    </row>
    <row r="24" spans="1:2" x14ac:dyDescent="0.35">
      <c r="A24">
        <v>21.6646</v>
      </c>
      <c r="B24" t="s">
        <v>57</v>
      </c>
    </row>
    <row r="25" spans="1:2" x14ac:dyDescent="0.35">
      <c r="A25">
        <v>28.094799999999999</v>
      </c>
      <c r="B25" t="s">
        <v>59</v>
      </c>
    </row>
    <row r="26" spans="1:2" x14ac:dyDescent="0.35">
      <c r="A26">
        <v>32.779699999999998</v>
      </c>
      <c r="B26" t="s">
        <v>61</v>
      </c>
    </row>
    <row r="27" spans="1:2" x14ac:dyDescent="0.35">
      <c r="A27">
        <v>37.460599999999999</v>
      </c>
      <c r="B27" t="s">
        <v>63</v>
      </c>
    </row>
    <row r="28" spans="1:2" x14ac:dyDescent="0.35">
      <c r="A28">
        <v>35.697299999999998</v>
      </c>
      <c r="B28" t="s">
        <v>65</v>
      </c>
    </row>
    <row r="29" spans="1:2" x14ac:dyDescent="0.35">
      <c r="A29">
        <v>46.824199999999998</v>
      </c>
      <c r="B29" t="s">
        <v>67</v>
      </c>
    </row>
    <row r="30" spans="1:2" x14ac:dyDescent="0.35">
      <c r="A30">
        <v>53.798900000000003</v>
      </c>
      <c r="B30" t="s">
        <v>69</v>
      </c>
    </row>
    <row r="31" spans="1:2" x14ac:dyDescent="0.35">
      <c r="A31">
        <v>65.677899999999994</v>
      </c>
      <c r="B31" t="s">
        <v>71</v>
      </c>
    </row>
    <row r="32" spans="1:2" x14ac:dyDescent="0.35">
      <c r="A32">
        <v>66.200699999999998</v>
      </c>
      <c r="B32" t="s">
        <v>73</v>
      </c>
    </row>
    <row r="33" spans="1:2" x14ac:dyDescent="0.35">
      <c r="A33">
        <v>66.286600000000007</v>
      </c>
      <c r="B33" t="s">
        <v>75</v>
      </c>
    </row>
    <row r="34" spans="1:2" x14ac:dyDescent="0.35">
      <c r="A34">
        <v>66.305300000000003</v>
      </c>
      <c r="B34" t="s">
        <v>77</v>
      </c>
    </row>
    <row r="35" spans="1:2" x14ac:dyDescent="0.35">
      <c r="A35">
        <v>66.374200000000002</v>
      </c>
      <c r="B35" t="s">
        <v>79</v>
      </c>
    </row>
    <row r="36" spans="1:2" x14ac:dyDescent="0.35">
      <c r="A36">
        <v>70.054199999999994</v>
      </c>
      <c r="B36" t="s">
        <v>81</v>
      </c>
    </row>
    <row r="37" spans="1:2" x14ac:dyDescent="0.35">
      <c r="A37">
        <v>78.965900000000005</v>
      </c>
      <c r="B37" t="s">
        <v>83</v>
      </c>
    </row>
    <row r="38" spans="1:2" x14ac:dyDescent="0.35">
      <c r="A38">
        <v>87.739699999999999</v>
      </c>
      <c r="B38" t="s">
        <v>85</v>
      </c>
    </row>
    <row r="39" spans="1:2" x14ac:dyDescent="0.35">
      <c r="A39">
        <v>4.391</v>
      </c>
      <c r="B39" t="s">
        <v>964</v>
      </c>
    </row>
    <row r="40" spans="1:2" x14ac:dyDescent="0.35">
      <c r="A40">
        <v>5.4886999999999997</v>
      </c>
      <c r="B40" t="s">
        <v>966</v>
      </c>
    </row>
    <row r="41" spans="1:2" x14ac:dyDescent="0.35">
      <c r="A41">
        <v>7.5279999999999996</v>
      </c>
      <c r="B41" t="s">
        <v>968</v>
      </c>
    </row>
    <row r="42" spans="1:2" x14ac:dyDescent="0.35">
      <c r="A42">
        <v>16.133299999999998</v>
      </c>
      <c r="B42" t="s">
        <v>88</v>
      </c>
    </row>
    <row r="43" spans="1:2" x14ac:dyDescent="0.35">
      <c r="A43">
        <v>8.7807999999999993</v>
      </c>
      <c r="B43" t="s">
        <v>90</v>
      </c>
    </row>
    <row r="44" spans="1:2" x14ac:dyDescent="0.35">
      <c r="A44">
        <v>16.136399999999998</v>
      </c>
      <c r="B44" t="s">
        <v>92</v>
      </c>
    </row>
    <row r="45" spans="1:2" x14ac:dyDescent="0.35">
      <c r="A45">
        <v>1.5266</v>
      </c>
      <c r="B45" t="s">
        <v>94</v>
      </c>
    </row>
    <row r="46" spans="1:2" x14ac:dyDescent="0.35">
      <c r="A46">
        <v>13.1723</v>
      </c>
      <c r="B46" t="s">
        <v>96</v>
      </c>
    </row>
    <row r="47" spans="1:2" x14ac:dyDescent="0.35">
      <c r="A47">
        <v>24.200500000000002</v>
      </c>
      <c r="B47" t="s">
        <v>98</v>
      </c>
    </row>
    <row r="48" spans="1:2" x14ac:dyDescent="0.35">
      <c r="A48">
        <v>13.1723</v>
      </c>
      <c r="B48" t="s">
        <v>100</v>
      </c>
    </row>
    <row r="49" spans="1:2" x14ac:dyDescent="0.35">
      <c r="A49">
        <v>3.0531000000000001</v>
      </c>
      <c r="B49" t="s">
        <v>102</v>
      </c>
    </row>
    <row r="50" spans="1:2" x14ac:dyDescent="0.35">
      <c r="A50">
        <v>3.8169</v>
      </c>
      <c r="B50" t="s">
        <v>104</v>
      </c>
    </row>
    <row r="51" spans="1:2" x14ac:dyDescent="0.35">
      <c r="A51">
        <v>17.563700000000001</v>
      </c>
      <c r="B51" t="s">
        <v>106</v>
      </c>
    </row>
    <row r="52" spans="1:2" x14ac:dyDescent="0.35">
      <c r="A52">
        <v>2.5442</v>
      </c>
      <c r="B52" t="s">
        <v>108</v>
      </c>
    </row>
    <row r="53" spans="1:2" x14ac:dyDescent="0.35">
      <c r="A53">
        <v>3.0531000000000001</v>
      </c>
      <c r="B53" t="s">
        <v>110</v>
      </c>
    </row>
    <row r="54" spans="1:2" x14ac:dyDescent="0.35">
      <c r="A54">
        <v>5.0891000000000002</v>
      </c>
      <c r="B54" t="s">
        <v>112</v>
      </c>
    </row>
    <row r="55" spans="1:2" x14ac:dyDescent="0.35">
      <c r="A55">
        <v>7.2533000000000003</v>
      </c>
      <c r="B55" t="s">
        <v>114</v>
      </c>
    </row>
    <row r="56" spans="1:2" x14ac:dyDescent="0.35">
      <c r="A56">
        <v>17.563700000000001</v>
      </c>
      <c r="B56" t="s">
        <v>116</v>
      </c>
    </row>
    <row r="57" spans="1:2" x14ac:dyDescent="0.35">
      <c r="A57">
        <v>6.3613</v>
      </c>
      <c r="B57" t="s">
        <v>118</v>
      </c>
    </row>
    <row r="58" spans="1:2" x14ac:dyDescent="0.35">
      <c r="A58">
        <v>21.955100000000002</v>
      </c>
      <c r="B58" t="s">
        <v>120</v>
      </c>
    </row>
    <row r="59" spans="1:2" x14ac:dyDescent="0.35">
      <c r="A59">
        <v>6.8052000000000001</v>
      </c>
      <c r="B59" t="s">
        <v>122</v>
      </c>
    </row>
    <row r="60" spans="1:2" x14ac:dyDescent="0.35">
      <c r="A60">
        <v>4.5797999999999996</v>
      </c>
      <c r="B60" t="s">
        <v>124</v>
      </c>
    </row>
    <row r="61" spans="1:2" x14ac:dyDescent="0.35">
      <c r="A61">
        <v>7.6337000000000002</v>
      </c>
      <c r="B61" t="s">
        <v>126</v>
      </c>
    </row>
    <row r="62" spans="1:2" x14ac:dyDescent="0.35">
      <c r="A62">
        <v>5.0885999999999996</v>
      </c>
      <c r="B62" t="s">
        <v>128</v>
      </c>
    </row>
    <row r="63" spans="1:2" x14ac:dyDescent="0.35">
      <c r="A63">
        <v>12.7225</v>
      </c>
      <c r="B63" t="s">
        <v>130</v>
      </c>
    </row>
    <row r="64" spans="1:2" x14ac:dyDescent="0.35">
      <c r="A64">
        <v>5.0887000000000002</v>
      </c>
      <c r="B64" t="s">
        <v>132</v>
      </c>
    </row>
    <row r="65" spans="1:2" x14ac:dyDescent="0.35">
      <c r="A65">
        <v>12.7225</v>
      </c>
      <c r="B65" t="s">
        <v>134</v>
      </c>
    </row>
    <row r="66" spans="1:2" x14ac:dyDescent="0.35">
      <c r="A66">
        <v>9.1594999999999995</v>
      </c>
      <c r="B66" t="s">
        <v>136</v>
      </c>
    </row>
    <row r="67" spans="1:2" x14ac:dyDescent="0.35">
      <c r="A67">
        <v>18.3141</v>
      </c>
      <c r="B67" t="s">
        <v>138</v>
      </c>
    </row>
    <row r="68" spans="1:2" x14ac:dyDescent="0.35">
      <c r="A68">
        <v>31.805499999999999</v>
      </c>
      <c r="B68" t="s">
        <v>140</v>
      </c>
    </row>
    <row r="69" spans="1:2" x14ac:dyDescent="0.35">
      <c r="A69">
        <v>7.6326999999999998</v>
      </c>
      <c r="B69" t="s">
        <v>958</v>
      </c>
    </row>
    <row r="70" spans="1:2" x14ac:dyDescent="0.35">
      <c r="A70">
        <v>10.1769</v>
      </c>
      <c r="B70" t="s">
        <v>960</v>
      </c>
    </row>
    <row r="71" spans="1:2" x14ac:dyDescent="0.35">
      <c r="A71">
        <v>5.0888999999999998</v>
      </c>
      <c r="B71" t="s">
        <v>962</v>
      </c>
    </row>
    <row r="72" spans="1:2" x14ac:dyDescent="0.35">
      <c r="A72">
        <v>0.3805</v>
      </c>
      <c r="B72" t="s">
        <v>142</v>
      </c>
    </row>
    <row r="73" spans="1:2" x14ac:dyDescent="0.35">
      <c r="A73">
        <v>3.8140999999999998</v>
      </c>
      <c r="B73" t="s">
        <v>144</v>
      </c>
    </row>
    <row r="74" spans="1:2" x14ac:dyDescent="0.35">
      <c r="A74">
        <v>27.572900000000001</v>
      </c>
      <c r="B74" t="s">
        <v>146</v>
      </c>
    </row>
    <row r="75" spans="1:2" x14ac:dyDescent="0.35">
      <c r="A75">
        <v>33.086399999999998</v>
      </c>
      <c r="B75" t="s">
        <v>148</v>
      </c>
    </row>
    <row r="76" spans="1:2" x14ac:dyDescent="0.35">
      <c r="A76">
        <v>5.5458999999999996</v>
      </c>
      <c r="B76" t="s">
        <v>150</v>
      </c>
    </row>
    <row r="77" spans="1:2" x14ac:dyDescent="0.35">
      <c r="A77">
        <v>41.939300000000003</v>
      </c>
      <c r="B77" t="s">
        <v>152</v>
      </c>
    </row>
    <row r="78" spans="1:2" x14ac:dyDescent="0.35">
      <c r="A78">
        <v>44.735300000000002</v>
      </c>
      <c r="B78" t="s">
        <v>154</v>
      </c>
    </row>
    <row r="79" spans="1:2" x14ac:dyDescent="0.35">
      <c r="A79">
        <v>6.4699</v>
      </c>
      <c r="B79" t="s">
        <v>156</v>
      </c>
    </row>
    <row r="80" spans="1:2" x14ac:dyDescent="0.35">
      <c r="A80">
        <v>6.6548999999999996</v>
      </c>
      <c r="B80" t="s">
        <v>158</v>
      </c>
    </row>
    <row r="81" spans="1:2" x14ac:dyDescent="0.35">
      <c r="A81">
        <v>50.327399999999997</v>
      </c>
      <c r="B81" t="s">
        <v>160</v>
      </c>
    </row>
    <row r="82" spans="1:2" x14ac:dyDescent="0.35">
      <c r="A82">
        <v>0.98919999999999997</v>
      </c>
      <c r="B82" t="s">
        <v>162</v>
      </c>
    </row>
    <row r="83" spans="1:2" x14ac:dyDescent="0.35">
      <c r="A83">
        <v>0.99170000000000003</v>
      </c>
      <c r="B83" t="s">
        <v>164</v>
      </c>
    </row>
    <row r="84" spans="1:2" x14ac:dyDescent="0.35">
      <c r="A84">
        <v>52.048999999999999</v>
      </c>
      <c r="B84" t="s">
        <v>166</v>
      </c>
    </row>
    <row r="85" spans="1:2" x14ac:dyDescent="0.35">
      <c r="A85">
        <v>54.503</v>
      </c>
      <c r="B85" t="s">
        <v>168</v>
      </c>
    </row>
    <row r="86" spans="1:2" x14ac:dyDescent="0.35">
      <c r="A86">
        <v>1.0593999999999999</v>
      </c>
      <c r="B86" t="s">
        <v>170</v>
      </c>
    </row>
    <row r="87" spans="1:2" x14ac:dyDescent="0.35">
      <c r="A87">
        <v>7.1535000000000002</v>
      </c>
      <c r="B87" t="s">
        <v>172</v>
      </c>
    </row>
    <row r="88" spans="1:2" x14ac:dyDescent="0.35">
      <c r="A88">
        <v>55.917099999999998</v>
      </c>
      <c r="B88" t="s">
        <v>174</v>
      </c>
    </row>
    <row r="89" spans="1:2" x14ac:dyDescent="0.35">
      <c r="A89">
        <v>61.508800000000001</v>
      </c>
      <c r="B89" t="s">
        <v>176</v>
      </c>
    </row>
    <row r="90" spans="1:2" x14ac:dyDescent="0.35">
      <c r="A90">
        <v>1.3221000000000001</v>
      </c>
      <c r="B90" t="s">
        <v>178</v>
      </c>
    </row>
    <row r="91" spans="1:2" x14ac:dyDescent="0.35">
      <c r="A91">
        <v>8.9403000000000006</v>
      </c>
      <c r="B91" t="s">
        <v>180</v>
      </c>
    </row>
    <row r="92" spans="1:2" x14ac:dyDescent="0.35">
      <c r="A92">
        <v>9.5152999999999999</v>
      </c>
      <c r="B92" t="s">
        <v>182</v>
      </c>
    </row>
    <row r="93" spans="1:2" x14ac:dyDescent="0.35">
      <c r="A93">
        <v>78.286500000000004</v>
      </c>
      <c r="B93" t="s">
        <v>184</v>
      </c>
    </row>
    <row r="94" spans="1:2" x14ac:dyDescent="0.35">
      <c r="A94">
        <v>1.5330999999999999</v>
      </c>
      <c r="B94" t="s">
        <v>186</v>
      </c>
    </row>
    <row r="95" spans="1:2" x14ac:dyDescent="0.35">
      <c r="A95">
        <v>1.5861000000000001</v>
      </c>
      <c r="B95" t="s">
        <v>188</v>
      </c>
    </row>
    <row r="96" spans="1:2" x14ac:dyDescent="0.35">
      <c r="A96">
        <v>10.3809</v>
      </c>
      <c r="B96" t="s">
        <v>190</v>
      </c>
    </row>
    <row r="97" spans="1:2" x14ac:dyDescent="0.35">
      <c r="A97">
        <v>1.7551000000000001</v>
      </c>
      <c r="B97" t="s">
        <v>192</v>
      </c>
    </row>
    <row r="98" spans="1:2" x14ac:dyDescent="0.35">
      <c r="A98">
        <v>1.8507</v>
      </c>
      <c r="B98" t="s">
        <v>194</v>
      </c>
    </row>
    <row r="99" spans="1:2" x14ac:dyDescent="0.35">
      <c r="A99">
        <v>1.9829000000000001</v>
      </c>
      <c r="B99" t="s">
        <v>196</v>
      </c>
    </row>
    <row r="100" spans="1:2" x14ac:dyDescent="0.35">
      <c r="A100">
        <v>12.8085</v>
      </c>
      <c r="B100" t="s">
        <v>198</v>
      </c>
    </row>
    <row r="101" spans="1:2" x14ac:dyDescent="0.35">
      <c r="A101">
        <v>14.407999999999999</v>
      </c>
      <c r="B101" t="s">
        <v>200</v>
      </c>
    </row>
    <row r="102" spans="1:2" x14ac:dyDescent="0.35">
      <c r="A102">
        <v>0.26390000000000002</v>
      </c>
      <c r="B102" t="s">
        <v>202</v>
      </c>
    </row>
    <row r="103" spans="1:2" x14ac:dyDescent="0.35">
      <c r="A103">
        <v>2.6463000000000001</v>
      </c>
      <c r="B103" t="s">
        <v>204</v>
      </c>
    </row>
    <row r="104" spans="1:2" x14ac:dyDescent="0.35">
      <c r="A104">
        <v>16.010000000000002</v>
      </c>
      <c r="B104" t="s">
        <v>206</v>
      </c>
    </row>
    <row r="105" spans="1:2" x14ac:dyDescent="0.35">
      <c r="A105">
        <v>19.212599999999998</v>
      </c>
      <c r="B105" t="s">
        <v>208</v>
      </c>
    </row>
    <row r="106" spans="1:2" x14ac:dyDescent="0.35">
      <c r="A106">
        <v>2.7547000000000001</v>
      </c>
      <c r="B106" t="s">
        <v>210</v>
      </c>
    </row>
    <row r="107" spans="1:2" x14ac:dyDescent="0.35">
      <c r="A107">
        <v>3.1107</v>
      </c>
      <c r="B107" t="s">
        <v>212</v>
      </c>
    </row>
    <row r="108" spans="1:2" x14ac:dyDescent="0.35">
      <c r="A108">
        <v>3.1987999999999999</v>
      </c>
      <c r="B108" t="s">
        <v>214</v>
      </c>
    </row>
    <row r="109" spans="1:2" x14ac:dyDescent="0.35">
      <c r="A109">
        <v>3.2429000000000001</v>
      </c>
      <c r="B109" t="s">
        <v>216</v>
      </c>
    </row>
    <row r="110" spans="1:2" x14ac:dyDescent="0.35">
      <c r="A110">
        <v>3.3323999999999998</v>
      </c>
      <c r="B110" t="s">
        <v>218</v>
      </c>
    </row>
    <row r="111" spans="1:2" x14ac:dyDescent="0.35">
      <c r="A111">
        <v>3.4306999999999999</v>
      </c>
      <c r="B111" t="s">
        <v>220</v>
      </c>
    </row>
    <row r="112" spans="1:2" x14ac:dyDescent="0.35">
      <c r="A112">
        <v>24.814399999999999</v>
      </c>
      <c r="B112" t="s">
        <v>222</v>
      </c>
    </row>
    <row r="113" spans="1:2" x14ac:dyDescent="0.35">
      <c r="A113">
        <v>4.4362000000000004</v>
      </c>
      <c r="B113" t="s">
        <v>981</v>
      </c>
    </row>
    <row r="114" spans="1:2" x14ac:dyDescent="0.35">
      <c r="A114">
        <v>6.3586</v>
      </c>
      <c r="B114" t="s">
        <v>983</v>
      </c>
    </row>
    <row r="115" spans="1:2" x14ac:dyDescent="0.35">
      <c r="A115">
        <v>83.846199999999996</v>
      </c>
      <c r="B115" t="s">
        <v>985</v>
      </c>
    </row>
    <row r="116" spans="1:2" x14ac:dyDescent="0.35">
      <c r="A116">
        <v>1.8880999999999999</v>
      </c>
      <c r="B116" t="s">
        <v>987</v>
      </c>
    </row>
    <row r="117" spans="1:2" x14ac:dyDescent="0.35">
      <c r="A117">
        <v>12.976000000000001</v>
      </c>
      <c r="B117" t="s">
        <v>989</v>
      </c>
    </row>
    <row r="118" spans="1:2" x14ac:dyDescent="0.35">
      <c r="A118">
        <v>2.16</v>
      </c>
      <c r="B118" t="s">
        <v>991</v>
      </c>
    </row>
    <row r="119" spans="1:2" x14ac:dyDescent="0.35">
      <c r="A119">
        <v>15.3695</v>
      </c>
      <c r="B119" t="s">
        <v>993</v>
      </c>
    </row>
    <row r="120" spans="1:2" x14ac:dyDescent="0.35">
      <c r="A120">
        <v>2.8372999999999999</v>
      </c>
      <c r="B120" t="s">
        <v>997</v>
      </c>
    </row>
    <row r="121" spans="1:2" x14ac:dyDescent="0.35">
      <c r="A121">
        <v>7.6280999999999999</v>
      </c>
      <c r="B121" t="s">
        <v>225</v>
      </c>
    </row>
    <row r="122" spans="1:2" x14ac:dyDescent="0.35">
      <c r="A122">
        <v>1.9789000000000001</v>
      </c>
      <c r="B122" t="s">
        <v>227</v>
      </c>
    </row>
    <row r="123" spans="1:2" x14ac:dyDescent="0.35">
      <c r="A123">
        <v>2.1185</v>
      </c>
      <c r="B123" t="s">
        <v>229</v>
      </c>
    </row>
    <row r="124" spans="1:2" x14ac:dyDescent="0.35">
      <c r="A124">
        <v>3.9659</v>
      </c>
      <c r="B124" t="s">
        <v>231</v>
      </c>
    </row>
    <row r="125" spans="1:2" x14ac:dyDescent="0.35">
      <c r="A125">
        <v>24.814399999999999</v>
      </c>
      <c r="B125" t="s">
        <v>233</v>
      </c>
    </row>
    <row r="126" spans="1:2" x14ac:dyDescent="0.35">
      <c r="A126">
        <v>6.6649000000000003</v>
      </c>
      <c r="B126" t="s">
        <v>235</v>
      </c>
    </row>
    <row r="127" spans="1:2" x14ac:dyDescent="0.35">
      <c r="A127">
        <v>3.1642000000000001</v>
      </c>
      <c r="B127" t="s">
        <v>237</v>
      </c>
    </row>
    <row r="128" spans="1:2" x14ac:dyDescent="0.35">
      <c r="A128">
        <v>3.9668999999999999</v>
      </c>
      <c r="B128" t="s">
        <v>239</v>
      </c>
    </row>
    <row r="129" spans="1:2" x14ac:dyDescent="0.35">
      <c r="A129">
        <v>5.9492000000000003</v>
      </c>
      <c r="B129" t="s">
        <v>241</v>
      </c>
    </row>
    <row r="130" spans="1:2" x14ac:dyDescent="0.35">
      <c r="A130">
        <v>0.79190000000000005</v>
      </c>
      <c r="B130" t="s">
        <v>243</v>
      </c>
    </row>
    <row r="131" spans="1:2" x14ac:dyDescent="0.35">
      <c r="A131">
        <v>9.9974000000000007</v>
      </c>
      <c r="B131" t="s">
        <v>245</v>
      </c>
    </row>
    <row r="132" spans="1:2" x14ac:dyDescent="0.35">
      <c r="A132">
        <v>3.9577</v>
      </c>
      <c r="B132" t="s">
        <v>247</v>
      </c>
    </row>
    <row r="133" spans="1:2" x14ac:dyDescent="0.35">
      <c r="A133">
        <v>3.9685999999999999</v>
      </c>
      <c r="B133" t="s">
        <v>249</v>
      </c>
    </row>
    <row r="134" spans="1:2" x14ac:dyDescent="0.35">
      <c r="A134">
        <v>4.2374000000000001</v>
      </c>
      <c r="B134" t="s">
        <v>251</v>
      </c>
    </row>
    <row r="135" spans="1:2" x14ac:dyDescent="0.35">
      <c r="A135">
        <v>5.2896999999999998</v>
      </c>
      <c r="B135" t="s">
        <v>253</v>
      </c>
    </row>
    <row r="136" spans="1:2" x14ac:dyDescent="0.35">
      <c r="A136">
        <v>7.9321000000000002</v>
      </c>
      <c r="B136" t="s">
        <v>255</v>
      </c>
    </row>
    <row r="137" spans="1:2" x14ac:dyDescent="0.35">
      <c r="A137">
        <v>10.5854</v>
      </c>
      <c r="B137" t="s">
        <v>257</v>
      </c>
    </row>
    <row r="138" spans="1:2" x14ac:dyDescent="0.35">
      <c r="A138">
        <v>5.9366000000000003</v>
      </c>
      <c r="B138" t="s">
        <v>259</v>
      </c>
    </row>
    <row r="139" spans="1:2" x14ac:dyDescent="0.35">
      <c r="A139">
        <v>7.9348000000000001</v>
      </c>
      <c r="B139" t="s">
        <v>261</v>
      </c>
    </row>
    <row r="140" spans="1:2" x14ac:dyDescent="0.35">
      <c r="A140">
        <v>1.5846</v>
      </c>
      <c r="B140" t="s">
        <v>263</v>
      </c>
    </row>
    <row r="141" spans="1:2" x14ac:dyDescent="0.35">
      <c r="A141">
        <v>19.994399999999999</v>
      </c>
      <c r="B141" t="s">
        <v>265</v>
      </c>
    </row>
    <row r="142" spans="1:2" x14ac:dyDescent="0.35">
      <c r="A142">
        <v>3.1682999999999999</v>
      </c>
      <c r="B142" t="s">
        <v>267</v>
      </c>
    </row>
    <row r="143" spans="1:2" x14ac:dyDescent="0.35">
      <c r="A143">
        <v>13.326000000000001</v>
      </c>
      <c r="B143" t="s">
        <v>995</v>
      </c>
    </row>
    <row r="144" spans="1:2" x14ac:dyDescent="0.35">
      <c r="A144">
        <v>26.659099999999999</v>
      </c>
      <c r="B144" t="s">
        <v>999</v>
      </c>
    </row>
    <row r="145" spans="1:2" x14ac:dyDescent="0.35">
      <c r="A145">
        <v>0.16270000000000001</v>
      </c>
      <c r="B145" t="s">
        <v>269</v>
      </c>
    </row>
    <row r="146" spans="1:2" x14ac:dyDescent="0.35">
      <c r="A146">
        <v>0.314</v>
      </c>
      <c r="B146" t="s">
        <v>273</v>
      </c>
    </row>
    <row r="147" spans="1:2" x14ac:dyDescent="0.35">
      <c r="A147">
        <v>0.60860000000000003</v>
      </c>
      <c r="B147" t="s">
        <v>277</v>
      </c>
    </row>
    <row r="148" spans="1:2" x14ac:dyDescent="0.35">
      <c r="A148">
        <v>0.6512</v>
      </c>
      <c r="B148" t="s">
        <v>281</v>
      </c>
    </row>
    <row r="149" spans="1:2" x14ac:dyDescent="0.35">
      <c r="A149">
        <v>0.77100000000000002</v>
      </c>
      <c r="B149" t="s">
        <v>285</v>
      </c>
    </row>
    <row r="150" spans="1:2" x14ac:dyDescent="0.35">
      <c r="A150">
        <v>0.81359999999999999</v>
      </c>
      <c r="B150" t="s">
        <v>289</v>
      </c>
    </row>
    <row r="151" spans="1:2" x14ac:dyDescent="0.35">
      <c r="A151">
        <v>0.87890000000000001</v>
      </c>
      <c r="B151" t="s">
        <v>293</v>
      </c>
    </row>
    <row r="152" spans="1:2" x14ac:dyDescent="0.35">
      <c r="A152">
        <v>0.89510000000000001</v>
      </c>
      <c r="B152" t="s">
        <v>297</v>
      </c>
    </row>
    <row r="153" spans="1:2" x14ac:dyDescent="0.35">
      <c r="A153">
        <v>0.91830000000000001</v>
      </c>
      <c r="B153" t="s">
        <v>301</v>
      </c>
    </row>
    <row r="154" spans="1:2" x14ac:dyDescent="0.35">
      <c r="A154">
        <v>0.93049999999999999</v>
      </c>
      <c r="B154" t="s">
        <v>305</v>
      </c>
    </row>
    <row r="155" spans="1:2" x14ac:dyDescent="0.35">
      <c r="A155">
        <v>1.0744</v>
      </c>
      <c r="B155" t="s">
        <v>309</v>
      </c>
    </row>
    <row r="156" spans="1:2" x14ac:dyDescent="0.35">
      <c r="A156">
        <v>1.0837000000000001</v>
      </c>
      <c r="B156" t="s">
        <v>313</v>
      </c>
    </row>
    <row r="157" spans="1:2" x14ac:dyDescent="0.35">
      <c r="A157">
        <v>1.1100000000000001</v>
      </c>
      <c r="B157" t="s">
        <v>317</v>
      </c>
    </row>
    <row r="158" spans="1:2" x14ac:dyDescent="0.35">
      <c r="A158">
        <v>1.1557999999999999</v>
      </c>
      <c r="B158" t="s">
        <v>321</v>
      </c>
    </row>
    <row r="159" spans="1:2" x14ac:dyDescent="0.35">
      <c r="A159">
        <v>1.1719999999999999</v>
      </c>
      <c r="B159" t="s">
        <v>325</v>
      </c>
    </row>
    <row r="160" spans="1:2" x14ac:dyDescent="0.35">
      <c r="A160">
        <v>1.2213000000000001</v>
      </c>
      <c r="B160" t="s">
        <v>329</v>
      </c>
    </row>
    <row r="161" spans="1:2" x14ac:dyDescent="0.35">
      <c r="A161">
        <v>1.3019000000000001</v>
      </c>
      <c r="B161" t="s">
        <v>333</v>
      </c>
    </row>
    <row r="162" spans="1:2" x14ac:dyDescent="0.35">
      <c r="A162">
        <v>1.4323999999999999</v>
      </c>
      <c r="B162" t="s">
        <v>337</v>
      </c>
    </row>
    <row r="163" spans="1:2" x14ac:dyDescent="0.35">
      <c r="A163">
        <v>1.4916</v>
      </c>
      <c r="B163" t="s">
        <v>341</v>
      </c>
    </row>
    <row r="164" spans="1:2" x14ac:dyDescent="0.35">
      <c r="A164">
        <v>1.5405</v>
      </c>
      <c r="B164" t="s">
        <v>345</v>
      </c>
    </row>
    <row r="165" spans="1:2" x14ac:dyDescent="0.35">
      <c r="A165">
        <v>1.5698000000000001</v>
      </c>
      <c r="B165" t="s">
        <v>349</v>
      </c>
    </row>
    <row r="166" spans="1:2" x14ac:dyDescent="0.35">
      <c r="A166">
        <v>2.0407999999999999</v>
      </c>
      <c r="B166" t="s">
        <v>353</v>
      </c>
    </row>
    <row r="167" spans="1:2" x14ac:dyDescent="0.35">
      <c r="A167">
        <v>2.1476999999999999</v>
      </c>
      <c r="B167" t="s">
        <v>357</v>
      </c>
    </row>
    <row r="168" spans="1:2" x14ac:dyDescent="0.35">
      <c r="A168">
        <v>2.1979000000000002</v>
      </c>
      <c r="B168" t="s">
        <v>361</v>
      </c>
    </row>
    <row r="169" spans="1:2" x14ac:dyDescent="0.35">
      <c r="A169">
        <v>2.218</v>
      </c>
      <c r="B169" t="s">
        <v>365</v>
      </c>
    </row>
    <row r="170" spans="1:2" x14ac:dyDescent="0.35">
      <c r="A170">
        <v>2.2597</v>
      </c>
      <c r="B170" t="s">
        <v>369</v>
      </c>
    </row>
    <row r="171" spans="1:2" x14ac:dyDescent="0.35">
      <c r="A171">
        <v>2.3548</v>
      </c>
      <c r="B171" t="s">
        <v>373</v>
      </c>
    </row>
    <row r="172" spans="1:2" x14ac:dyDescent="0.35">
      <c r="A172">
        <v>2.8576000000000001</v>
      </c>
      <c r="B172" t="s">
        <v>377</v>
      </c>
    </row>
    <row r="173" spans="1:2" x14ac:dyDescent="0.35">
      <c r="A173">
        <v>2.9097</v>
      </c>
      <c r="B173" t="s">
        <v>379</v>
      </c>
    </row>
    <row r="174" spans="1:2" x14ac:dyDescent="0.35">
      <c r="A174">
        <v>3.1398000000000001</v>
      </c>
      <c r="B174" t="s">
        <v>381</v>
      </c>
    </row>
    <row r="175" spans="1:2" x14ac:dyDescent="0.35">
      <c r="A175">
        <v>3.5792999999999999</v>
      </c>
      <c r="B175" t="s">
        <v>383</v>
      </c>
    </row>
    <row r="176" spans="1:2" x14ac:dyDescent="0.35">
      <c r="A176">
        <v>4.2343000000000002</v>
      </c>
      <c r="B176" t="s">
        <v>385</v>
      </c>
    </row>
    <row r="177" spans="1:2" x14ac:dyDescent="0.35">
      <c r="A177">
        <v>4.2199</v>
      </c>
      <c r="B177" t="s">
        <v>387</v>
      </c>
    </row>
    <row r="178" spans="1:2" x14ac:dyDescent="0.35">
      <c r="A178">
        <v>4.3297999999999996</v>
      </c>
      <c r="B178" t="s">
        <v>389</v>
      </c>
    </row>
    <row r="179" spans="1:2" x14ac:dyDescent="0.35">
      <c r="A179">
        <v>4.3407999999999998</v>
      </c>
      <c r="B179" t="s">
        <v>391</v>
      </c>
    </row>
    <row r="180" spans="1:2" x14ac:dyDescent="0.35">
      <c r="A180">
        <v>6.5114000000000001</v>
      </c>
      <c r="B180" t="s">
        <v>393</v>
      </c>
    </row>
    <row r="181" spans="1:2" x14ac:dyDescent="0.35">
      <c r="A181">
        <v>8.6818000000000008</v>
      </c>
      <c r="B181" t="s">
        <v>395</v>
      </c>
    </row>
    <row r="182" spans="1:2" x14ac:dyDescent="0.35">
      <c r="A182">
        <v>42.323599999999999</v>
      </c>
      <c r="B182" t="s">
        <v>397</v>
      </c>
    </row>
    <row r="183" spans="1:2" x14ac:dyDescent="0.35">
      <c r="A183">
        <v>43.409199999999998</v>
      </c>
      <c r="B183" t="s">
        <v>399</v>
      </c>
    </row>
    <row r="184" spans="1:2" x14ac:dyDescent="0.35">
      <c r="A184">
        <v>54.259700000000002</v>
      </c>
      <c r="B184" t="s">
        <v>401</v>
      </c>
    </row>
    <row r="185" spans="1:2" x14ac:dyDescent="0.35">
      <c r="A185">
        <v>65.113799999999998</v>
      </c>
      <c r="B185" t="s">
        <v>403</v>
      </c>
    </row>
    <row r="186" spans="1:2" x14ac:dyDescent="0.35">
      <c r="A186">
        <v>108.53440000000001</v>
      </c>
      <c r="B186" t="s">
        <v>405</v>
      </c>
    </row>
    <row r="187" spans="1:2" x14ac:dyDescent="0.35">
      <c r="A187">
        <v>122.80459999999999</v>
      </c>
      <c r="B187" t="s">
        <v>407</v>
      </c>
    </row>
    <row r="188" spans="1:2" x14ac:dyDescent="0.35">
      <c r="A188">
        <v>123.0141</v>
      </c>
      <c r="B188" t="s">
        <v>409</v>
      </c>
    </row>
    <row r="189" spans="1:2" x14ac:dyDescent="0.35">
      <c r="A189">
        <v>1.2051000000000001</v>
      </c>
      <c r="B189" t="s">
        <v>887</v>
      </c>
    </row>
    <row r="190" spans="1:2" x14ac:dyDescent="0.35">
      <c r="A190">
        <v>63.659500000000001</v>
      </c>
      <c r="B190" t="s">
        <v>889</v>
      </c>
    </row>
    <row r="191" spans="1:2" x14ac:dyDescent="0.35">
      <c r="A191">
        <v>21.7044</v>
      </c>
      <c r="B191" t="s">
        <v>891</v>
      </c>
    </row>
    <row r="192" spans="1:2" x14ac:dyDescent="0.35">
      <c r="A192">
        <v>41.238100000000003</v>
      </c>
      <c r="B192" t="s">
        <v>893</v>
      </c>
    </row>
    <row r="193" spans="1:2" x14ac:dyDescent="0.35">
      <c r="A193">
        <v>1.7901</v>
      </c>
      <c r="B193" t="s">
        <v>271</v>
      </c>
    </row>
    <row r="194" spans="1:2" x14ac:dyDescent="0.35">
      <c r="A194">
        <v>3.2544</v>
      </c>
      <c r="B194" t="s">
        <v>275</v>
      </c>
    </row>
    <row r="195" spans="1:2" x14ac:dyDescent="0.35">
      <c r="A195">
        <v>3.5806</v>
      </c>
      <c r="B195" t="s">
        <v>279</v>
      </c>
    </row>
    <row r="196" spans="1:2" x14ac:dyDescent="0.35">
      <c r="A196">
        <v>3.907</v>
      </c>
      <c r="B196" t="s">
        <v>283</v>
      </c>
    </row>
    <row r="197" spans="1:2" x14ac:dyDescent="0.35">
      <c r="A197">
        <v>3.7258</v>
      </c>
      <c r="B197" t="s">
        <v>287</v>
      </c>
    </row>
    <row r="198" spans="1:2" x14ac:dyDescent="0.35">
      <c r="A198">
        <v>3.7601</v>
      </c>
      <c r="B198" t="s">
        <v>291</v>
      </c>
    </row>
    <row r="199" spans="1:2" x14ac:dyDescent="0.35">
      <c r="A199">
        <v>3.8393000000000002</v>
      </c>
      <c r="B199" t="s">
        <v>295</v>
      </c>
    </row>
    <row r="200" spans="1:2" x14ac:dyDescent="0.35">
      <c r="A200">
        <v>3.8498999999999999</v>
      </c>
      <c r="B200" t="s">
        <v>299</v>
      </c>
    </row>
    <row r="201" spans="1:2" x14ac:dyDescent="0.35">
      <c r="A201">
        <v>4.008</v>
      </c>
      <c r="B201" t="s">
        <v>303</v>
      </c>
    </row>
    <row r="202" spans="1:2" x14ac:dyDescent="0.35">
      <c r="A202">
        <v>5.2961999999999998</v>
      </c>
      <c r="B202" t="s">
        <v>307</v>
      </c>
    </row>
    <row r="203" spans="1:2" x14ac:dyDescent="0.35">
      <c r="A203">
        <v>4.1054000000000004</v>
      </c>
      <c r="B203" t="s">
        <v>311</v>
      </c>
    </row>
    <row r="204" spans="1:2" x14ac:dyDescent="0.35">
      <c r="A204">
        <v>5.0370999999999997</v>
      </c>
      <c r="B204" t="s">
        <v>315</v>
      </c>
    </row>
    <row r="205" spans="1:2" x14ac:dyDescent="0.35">
      <c r="A205">
        <v>4.2973999999999997</v>
      </c>
      <c r="B205" t="s">
        <v>319</v>
      </c>
    </row>
    <row r="206" spans="1:2" x14ac:dyDescent="0.35">
      <c r="A206">
        <v>4.9275000000000002</v>
      </c>
      <c r="B206" t="s">
        <v>323</v>
      </c>
    </row>
    <row r="207" spans="1:2" x14ac:dyDescent="0.35">
      <c r="A207">
        <v>5.1295999999999999</v>
      </c>
      <c r="B207" t="s">
        <v>327</v>
      </c>
    </row>
    <row r="208" spans="1:2" x14ac:dyDescent="0.35">
      <c r="A208">
        <v>6.2577999999999996</v>
      </c>
      <c r="B208" t="s">
        <v>331</v>
      </c>
    </row>
    <row r="209" spans="1:2" x14ac:dyDescent="0.35">
      <c r="A209">
        <v>5.9204999999999997</v>
      </c>
      <c r="B209" t="s">
        <v>335</v>
      </c>
    </row>
    <row r="210" spans="1:2" x14ac:dyDescent="0.35">
      <c r="A210">
        <v>6.7320000000000002</v>
      </c>
      <c r="B210" t="s">
        <v>339</v>
      </c>
    </row>
    <row r="211" spans="1:2" x14ac:dyDescent="0.35">
      <c r="A211">
        <v>8.4783000000000008</v>
      </c>
      <c r="B211" t="s">
        <v>343</v>
      </c>
    </row>
    <row r="212" spans="1:2" x14ac:dyDescent="0.35">
      <c r="A212">
        <v>9.6346000000000007</v>
      </c>
      <c r="B212" t="s">
        <v>347</v>
      </c>
    </row>
    <row r="213" spans="1:2" x14ac:dyDescent="0.35">
      <c r="A213">
        <v>6.7129000000000003</v>
      </c>
      <c r="B213" t="s">
        <v>351</v>
      </c>
    </row>
    <row r="214" spans="1:2" x14ac:dyDescent="0.35">
      <c r="A214">
        <v>9.5376999999999992</v>
      </c>
      <c r="B214" t="s">
        <v>355</v>
      </c>
    </row>
    <row r="215" spans="1:2" x14ac:dyDescent="0.35">
      <c r="A215">
        <v>13.3203</v>
      </c>
      <c r="B215" t="s">
        <v>359</v>
      </c>
    </row>
    <row r="216" spans="1:2" x14ac:dyDescent="0.35">
      <c r="A216">
        <v>10.259399999999999</v>
      </c>
      <c r="B216" t="s">
        <v>363</v>
      </c>
    </row>
    <row r="217" spans="1:2" x14ac:dyDescent="0.35">
      <c r="A217">
        <v>19.0731</v>
      </c>
      <c r="B217" t="s">
        <v>367</v>
      </c>
    </row>
    <row r="218" spans="1:2" x14ac:dyDescent="0.35">
      <c r="A218">
        <v>20.5184</v>
      </c>
      <c r="B218" t="s">
        <v>371</v>
      </c>
    </row>
    <row r="219" spans="1:2" x14ac:dyDescent="0.35">
      <c r="A219">
        <v>23.119399999999999</v>
      </c>
      <c r="B219" t="s">
        <v>375</v>
      </c>
    </row>
    <row r="220" spans="1:2" x14ac:dyDescent="0.35">
      <c r="A220">
        <v>11.561500000000001</v>
      </c>
      <c r="B220" t="s">
        <v>869</v>
      </c>
    </row>
    <row r="221" spans="1:2" x14ac:dyDescent="0.35">
      <c r="A221">
        <v>5.7293000000000003</v>
      </c>
      <c r="B221" t="s">
        <v>871</v>
      </c>
    </row>
    <row r="222" spans="1:2" x14ac:dyDescent="0.35">
      <c r="A222">
        <v>1.8835999999999999</v>
      </c>
      <c r="B222" t="s">
        <v>873</v>
      </c>
    </row>
    <row r="223" spans="1:2" x14ac:dyDescent="0.35">
      <c r="A223">
        <v>3.5154999999999998</v>
      </c>
      <c r="B223" t="s">
        <v>875</v>
      </c>
    </row>
    <row r="224" spans="1:2" x14ac:dyDescent="0.35">
      <c r="A224">
        <v>8.2106999999999992</v>
      </c>
      <c r="B224" t="s">
        <v>877</v>
      </c>
    </row>
    <row r="225" spans="1:2" x14ac:dyDescent="0.35">
      <c r="A225">
        <v>6.1580000000000004</v>
      </c>
      <c r="B225" t="s">
        <v>879</v>
      </c>
    </row>
    <row r="226" spans="1:2" x14ac:dyDescent="0.35">
      <c r="A226">
        <v>12.3161</v>
      </c>
      <c r="B226" t="s">
        <v>881</v>
      </c>
    </row>
    <row r="227" spans="1:2" x14ac:dyDescent="0.35">
      <c r="A227">
        <v>24.632200000000001</v>
      </c>
      <c r="B227" t="s">
        <v>883</v>
      </c>
    </row>
    <row r="228" spans="1:2" x14ac:dyDescent="0.35">
      <c r="A228">
        <v>12.824199999999999</v>
      </c>
      <c r="B228" t="s">
        <v>885</v>
      </c>
    </row>
    <row r="229" spans="1:2" x14ac:dyDescent="0.35">
      <c r="A229">
        <v>19.7088</v>
      </c>
      <c r="B229" t="s">
        <v>979</v>
      </c>
    </row>
    <row r="230" spans="1:2" x14ac:dyDescent="0.35">
      <c r="A230">
        <v>2.2663000000000002</v>
      </c>
      <c r="B230" t="s">
        <v>416</v>
      </c>
    </row>
    <row r="231" spans="1:2" x14ac:dyDescent="0.35">
      <c r="A231">
        <v>19.655999999999999</v>
      </c>
      <c r="B231" t="s">
        <v>429</v>
      </c>
    </row>
    <row r="232" spans="1:2" x14ac:dyDescent="0.35">
      <c r="A232">
        <v>0.56659999999999999</v>
      </c>
      <c r="B232" t="s">
        <v>439</v>
      </c>
    </row>
    <row r="233" spans="1:2" x14ac:dyDescent="0.35">
      <c r="A233">
        <v>0.74790000000000001</v>
      </c>
      <c r="B233" t="s">
        <v>449</v>
      </c>
    </row>
    <row r="234" spans="1:2" x14ac:dyDescent="0.35">
      <c r="A234">
        <v>0.75919999999999999</v>
      </c>
      <c r="B234" t="s">
        <v>459</v>
      </c>
    </row>
    <row r="235" spans="1:2" x14ac:dyDescent="0.35">
      <c r="A235">
        <v>0.77049999999999996</v>
      </c>
      <c r="B235" t="s">
        <v>469</v>
      </c>
    </row>
    <row r="236" spans="1:2" x14ac:dyDescent="0.35">
      <c r="A236">
        <v>0.77280000000000004</v>
      </c>
      <c r="B236" t="s">
        <v>479</v>
      </c>
    </row>
    <row r="237" spans="1:2" x14ac:dyDescent="0.35">
      <c r="A237">
        <v>0.80230000000000001</v>
      </c>
      <c r="B237" t="s">
        <v>489</v>
      </c>
    </row>
    <row r="238" spans="1:2" x14ac:dyDescent="0.35">
      <c r="A238">
        <v>0.80449999999999999</v>
      </c>
      <c r="B238" t="s">
        <v>499</v>
      </c>
    </row>
    <row r="239" spans="1:2" x14ac:dyDescent="0.35">
      <c r="A239">
        <v>0.84989999999999999</v>
      </c>
      <c r="B239" t="s">
        <v>509</v>
      </c>
    </row>
    <row r="240" spans="1:2" x14ac:dyDescent="0.35">
      <c r="A240">
        <v>0.99719999999999998</v>
      </c>
      <c r="B240" t="s">
        <v>519</v>
      </c>
    </row>
    <row r="241" spans="1:2" x14ac:dyDescent="0.35">
      <c r="A241">
        <v>1.0198</v>
      </c>
      <c r="B241" t="s">
        <v>530</v>
      </c>
    </row>
    <row r="242" spans="1:2" x14ac:dyDescent="0.35">
      <c r="A242">
        <v>1.0720000000000001</v>
      </c>
      <c r="B242" t="s">
        <v>538</v>
      </c>
    </row>
    <row r="243" spans="1:2" x14ac:dyDescent="0.35">
      <c r="A243">
        <v>1.1332</v>
      </c>
      <c r="B243" t="s">
        <v>546</v>
      </c>
    </row>
    <row r="244" spans="1:2" x14ac:dyDescent="0.35">
      <c r="A244">
        <v>9.8279999999999994</v>
      </c>
      <c r="B244" t="s">
        <v>554</v>
      </c>
    </row>
    <row r="245" spans="1:2" x14ac:dyDescent="0.35">
      <c r="A245">
        <v>1.2873000000000001</v>
      </c>
      <c r="B245" t="s">
        <v>562</v>
      </c>
    </row>
    <row r="246" spans="1:2" x14ac:dyDescent="0.35">
      <c r="A246">
        <v>1.4731000000000001</v>
      </c>
      <c r="B246" t="s">
        <v>570</v>
      </c>
    </row>
    <row r="247" spans="1:2" x14ac:dyDescent="0.35">
      <c r="A247">
        <v>1.6091</v>
      </c>
      <c r="B247" t="s">
        <v>578</v>
      </c>
    </row>
    <row r="248" spans="1:2" x14ac:dyDescent="0.35">
      <c r="A248">
        <v>1.6771</v>
      </c>
      <c r="B248" t="s">
        <v>586</v>
      </c>
    </row>
    <row r="249" spans="1:2" x14ac:dyDescent="0.35">
      <c r="A249">
        <v>0.91559999999999997</v>
      </c>
      <c r="B249" t="s">
        <v>899</v>
      </c>
    </row>
    <row r="250" spans="1:2" x14ac:dyDescent="0.35">
      <c r="A250">
        <v>2.2663000000000002</v>
      </c>
      <c r="B250" t="s">
        <v>419</v>
      </c>
    </row>
    <row r="251" spans="1:2" x14ac:dyDescent="0.35">
      <c r="A251">
        <v>2.4074</v>
      </c>
      <c r="B251" t="s">
        <v>431</v>
      </c>
    </row>
    <row r="252" spans="1:2" x14ac:dyDescent="0.35">
      <c r="A252">
        <v>3.0525000000000002</v>
      </c>
      <c r="B252" t="s">
        <v>441</v>
      </c>
    </row>
    <row r="253" spans="1:2" x14ac:dyDescent="0.35">
      <c r="A253">
        <v>0.45329999999999998</v>
      </c>
      <c r="B253" t="s">
        <v>451</v>
      </c>
    </row>
    <row r="254" spans="1:2" x14ac:dyDescent="0.35">
      <c r="A254">
        <v>4.07</v>
      </c>
      <c r="B254" t="s">
        <v>461</v>
      </c>
    </row>
    <row r="255" spans="1:2" x14ac:dyDescent="0.35">
      <c r="A255">
        <v>0.46910000000000002</v>
      </c>
      <c r="B255" t="s">
        <v>471</v>
      </c>
    </row>
    <row r="256" spans="1:2" x14ac:dyDescent="0.35">
      <c r="A256">
        <v>0.50309999999999999</v>
      </c>
      <c r="B256" t="s">
        <v>481</v>
      </c>
    </row>
    <row r="257" spans="1:2" x14ac:dyDescent="0.35">
      <c r="A257">
        <v>0.56659999999999999</v>
      </c>
      <c r="B257" t="s">
        <v>491</v>
      </c>
    </row>
    <row r="258" spans="1:2" x14ac:dyDescent="0.35">
      <c r="A258">
        <v>0.62319999999999998</v>
      </c>
      <c r="B258" t="s">
        <v>501</v>
      </c>
    </row>
    <row r="259" spans="1:2" x14ac:dyDescent="0.35">
      <c r="A259">
        <v>0.67989999999999995</v>
      </c>
      <c r="B259" t="s">
        <v>511</v>
      </c>
    </row>
    <row r="260" spans="1:2" x14ac:dyDescent="0.35">
      <c r="A260">
        <v>0.72519999999999996</v>
      </c>
      <c r="B260" t="s">
        <v>521</v>
      </c>
    </row>
    <row r="261" spans="1:2" x14ac:dyDescent="0.35">
      <c r="A261">
        <v>0.73650000000000004</v>
      </c>
      <c r="B261" t="s">
        <v>532</v>
      </c>
    </row>
    <row r="262" spans="1:2" x14ac:dyDescent="0.35">
      <c r="A262">
        <v>0.74790000000000001</v>
      </c>
      <c r="B262" t="s">
        <v>540</v>
      </c>
    </row>
    <row r="263" spans="1:2" x14ac:dyDescent="0.35">
      <c r="A263">
        <v>0.75690000000000002</v>
      </c>
      <c r="B263" t="s">
        <v>548</v>
      </c>
    </row>
    <row r="264" spans="1:2" x14ac:dyDescent="0.35">
      <c r="A264">
        <v>0.77280000000000004</v>
      </c>
      <c r="B264" t="s">
        <v>556</v>
      </c>
    </row>
    <row r="265" spans="1:2" x14ac:dyDescent="0.35">
      <c r="A265">
        <v>0.78190000000000004</v>
      </c>
      <c r="B265" t="s">
        <v>564</v>
      </c>
    </row>
    <row r="266" spans="1:2" x14ac:dyDescent="0.35">
      <c r="A266">
        <v>0.79320000000000002</v>
      </c>
      <c r="B266" t="s">
        <v>572</v>
      </c>
    </row>
    <row r="267" spans="1:2" x14ac:dyDescent="0.35">
      <c r="A267">
        <v>0.80230000000000001</v>
      </c>
      <c r="B267" t="s">
        <v>580</v>
      </c>
    </row>
    <row r="268" spans="1:2" x14ac:dyDescent="0.35">
      <c r="A268">
        <v>0.80449999999999999</v>
      </c>
      <c r="B268" t="s">
        <v>588</v>
      </c>
    </row>
    <row r="269" spans="1:2" x14ac:dyDescent="0.35">
      <c r="A269">
        <v>0.84989999999999999</v>
      </c>
      <c r="B269" t="s">
        <v>594</v>
      </c>
    </row>
    <row r="270" spans="1:2" x14ac:dyDescent="0.35">
      <c r="A270">
        <v>0.99719999999999998</v>
      </c>
      <c r="B270" t="s">
        <v>600</v>
      </c>
    </row>
    <row r="271" spans="1:2" x14ac:dyDescent="0.35">
      <c r="A271">
        <v>1.0198</v>
      </c>
      <c r="B271" t="s">
        <v>606</v>
      </c>
    </row>
    <row r="272" spans="1:2" x14ac:dyDescent="0.35">
      <c r="A272">
        <v>1.0720000000000001</v>
      </c>
      <c r="B272" t="s">
        <v>612</v>
      </c>
    </row>
    <row r="273" spans="1:2" x14ac:dyDescent="0.35">
      <c r="A273">
        <v>1.1332</v>
      </c>
      <c r="B273" t="s">
        <v>618</v>
      </c>
    </row>
    <row r="274" spans="1:2" x14ac:dyDescent="0.35">
      <c r="A274">
        <v>1.2464999999999999</v>
      </c>
      <c r="B274" t="s">
        <v>624</v>
      </c>
    </row>
    <row r="275" spans="1:2" x14ac:dyDescent="0.35">
      <c r="A275">
        <v>1.2873000000000001</v>
      </c>
      <c r="B275" t="s">
        <v>630</v>
      </c>
    </row>
    <row r="276" spans="1:2" x14ac:dyDescent="0.35">
      <c r="A276">
        <v>1.3597999999999999</v>
      </c>
      <c r="B276" t="s">
        <v>636</v>
      </c>
    </row>
    <row r="277" spans="1:2" x14ac:dyDescent="0.35">
      <c r="A277">
        <v>1.4164000000000001</v>
      </c>
      <c r="B277" t="s">
        <v>642</v>
      </c>
    </row>
    <row r="278" spans="1:2" x14ac:dyDescent="0.35">
      <c r="A278">
        <v>1.4278</v>
      </c>
      <c r="B278" t="s">
        <v>648</v>
      </c>
    </row>
    <row r="279" spans="1:2" x14ac:dyDescent="0.35">
      <c r="A279">
        <v>1.4346000000000001</v>
      </c>
      <c r="B279" t="s">
        <v>652</v>
      </c>
    </row>
    <row r="280" spans="1:2" x14ac:dyDescent="0.35">
      <c r="A280">
        <v>1.4503999999999999</v>
      </c>
      <c r="B280" t="s">
        <v>656</v>
      </c>
    </row>
    <row r="281" spans="1:2" x14ac:dyDescent="0.35">
      <c r="A281">
        <v>1.4731000000000001</v>
      </c>
      <c r="B281" t="s">
        <v>660</v>
      </c>
    </row>
    <row r="282" spans="1:2" x14ac:dyDescent="0.35">
      <c r="A282">
        <v>1.4912000000000001</v>
      </c>
      <c r="B282" t="s">
        <v>662</v>
      </c>
    </row>
    <row r="283" spans="1:2" x14ac:dyDescent="0.35">
      <c r="A283">
        <v>1.4958</v>
      </c>
      <c r="B283" t="s">
        <v>664</v>
      </c>
    </row>
    <row r="284" spans="1:2" x14ac:dyDescent="0.35">
      <c r="A284">
        <v>1.6091</v>
      </c>
      <c r="B284" t="s">
        <v>666</v>
      </c>
    </row>
    <row r="285" spans="1:2" x14ac:dyDescent="0.35">
      <c r="A285">
        <v>1.6997</v>
      </c>
      <c r="B285" t="s">
        <v>668</v>
      </c>
    </row>
    <row r="286" spans="1:2" x14ac:dyDescent="0.35">
      <c r="A286">
        <v>1.7337</v>
      </c>
      <c r="B286" t="s">
        <v>670</v>
      </c>
    </row>
    <row r="287" spans="1:2" x14ac:dyDescent="0.35">
      <c r="A287">
        <v>2.0600999999999998</v>
      </c>
      <c r="B287" t="s">
        <v>672</v>
      </c>
    </row>
    <row r="288" spans="1:2" x14ac:dyDescent="0.35">
      <c r="A288">
        <v>2.1438999999999999</v>
      </c>
      <c r="B288" t="s">
        <v>674</v>
      </c>
    </row>
    <row r="289" spans="1:2" x14ac:dyDescent="0.35">
      <c r="A289">
        <v>0.64359999999999995</v>
      </c>
      <c r="B289" t="s">
        <v>895</v>
      </c>
    </row>
    <row r="290" spans="1:2" x14ac:dyDescent="0.35">
      <c r="A290">
        <v>0.77049999999999996</v>
      </c>
      <c r="B290" t="s">
        <v>897</v>
      </c>
    </row>
    <row r="291" spans="1:2" x14ac:dyDescent="0.35">
      <c r="A291">
        <v>28.558900000000001</v>
      </c>
      <c r="B291" t="s">
        <v>422</v>
      </c>
    </row>
    <row r="292" spans="1:2" x14ac:dyDescent="0.35">
      <c r="A292">
        <v>29.460799999999999</v>
      </c>
      <c r="B292" t="s">
        <v>433</v>
      </c>
    </row>
    <row r="293" spans="1:2" x14ac:dyDescent="0.35">
      <c r="A293">
        <v>30.062000000000001</v>
      </c>
      <c r="B293" t="s">
        <v>443</v>
      </c>
    </row>
    <row r="294" spans="1:2" x14ac:dyDescent="0.35">
      <c r="A294">
        <v>37.577500000000001</v>
      </c>
      <c r="B294" t="s">
        <v>453</v>
      </c>
    </row>
    <row r="295" spans="1:2" x14ac:dyDescent="0.35">
      <c r="A295">
        <v>45.093000000000004</v>
      </c>
      <c r="B295" t="s">
        <v>463</v>
      </c>
    </row>
    <row r="296" spans="1:2" x14ac:dyDescent="0.35">
      <c r="A296">
        <v>61.491799999999998</v>
      </c>
      <c r="B296" t="s">
        <v>473</v>
      </c>
    </row>
    <row r="297" spans="1:2" x14ac:dyDescent="0.35">
      <c r="A297">
        <v>68.3309</v>
      </c>
      <c r="B297" t="s">
        <v>483</v>
      </c>
    </row>
    <row r="298" spans="1:2" x14ac:dyDescent="0.35">
      <c r="A298">
        <v>75.155000000000001</v>
      </c>
      <c r="B298" t="s">
        <v>493</v>
      </c>
    </row>
    <row r="299" spans="1:2" x14ac:dyDescent="0.35">
      <c r="A299">
        <v>88.081699999999998</v>
      </c>
      <c r="B299" t="s">
        <v>503</v>
      </c>
    </row>
    <row r="300" spans="1:2" x14ac:dyDescent="0.35">
      <c r="A300">
        <v>88.183899999999994</v>
      </c>
      <c r="B300" t="s">
        <v>513</v>
      </c>
    </row>
    <row r="301" spans="1:2" x14ac:dyDescent="0.35">
      <c r="A301">
        <v>4.07</v>
      </c>
      <c r="B301" t="s">
        <v>523</v>
      </c>
    </row>
    <row r="302" spans="1:2" x14ac:dyDescent="0.35">
      <c r="A302">
        <v>19.655999999999999</v>
      </c>
      <c r="B302" t="s">
        <v>954</v>
      </c>
    </row>
    <row r="303" spans="1:2" x14ac:dyDescent="0.35">
      <c r="A303">
        <v>1.5456000000000001</v>
      </c>
      <c r="B303" t="s">
        <v>425</v>
      </c>
    </row>
    <row r="304" spans="1:2" x14ac:dyDescent="0.35">
      <c r="A304">
        <v>2.2435999999999998</v>
      </c>
      <c r="B304" t="s">
        <v>435</v>
      </c>
    </row>
    <row r="305" spans="1:2" x14ac:dyDescent="0.35">
      <c r="A305">
        <v>2.2663000000000002</v>
      </c>
      <c r="B305" t="s">
        <v>445</v>
      </c>
    </row>
    <row r="306" spans="1:2" x14ac:dyDescent="0.35">
      <c r="A306">
        <v>2.2663000000000002</v>
      </c>
      <c r="B306" t="s">
        <v>455</v>
      </c>
    </row>
    <row r="307" spans="1:2" x14ac:dyDescent="0.35">
      <c r="A307">
        <v>2.6455000000000002</v>
      </c>
      <c r="B307" t="s">
        <v>465</v>
      </c>
    </row>
    <row r="308" spans="1:2" x14ac:dyDescent="0.35">
      <c r="A308">
        <v>2.6861999999999999</v>
      </c>
      <c r="B308" t="s">
        <v>475</v>
      </c>
    </row>
    <row r="309" spans="1:2" x14ac:dyDescent="0.35">
      <c r="A309">
        <v>2.7757000000000001</v>
      </c>
      <c r="B309" t="s">
        <v>485</v>
      </c>
    </row>
    <row r="310" spans="1:2" x14ac:dyDescent="0.35">
      <c r="A310">
        <v>2.8896999999999999</v>
      </c>
      <c r="B310" t="s">
        <v>495</v>
      </c>
    </row>
    <row r="311" spans="1:2" x14ac:dyDescent="0.35">
      <c r="A311">
        <v>3.0525000000000002</v>
      </c>
      <c r="B311" t="s">
        <v>505</v>
      </c>
    </row>
    <row r="312" spans="1:2" x14ac:dyDescent="0.35">
      <c r="A312">
        <v>3.0525000000000002</v>
      </c>
      <c r="B312" t="s">
        <v>515</v>
      </c>
    </row>
    <row r="313" spans="1:2" x14ac:dyDescent="0.35">
      <c r="A313">
        <v>3.0525000000000002</v>
      </c>
      <c r="B313" t="s">
        <v>526</v>
      </c>
    </row>
    <row r="314" spans="1:2" x14ac:dyDescent="0.35">
      <c r="A314">
        <v>3.3578000000000001</v>
      </c>
      <c r="B314" t="s">
        <v>534</v>
      </c>
    </row>
    <row r="315" spans="1:2" x14ac:dyDescent="0.35">
      <c r="A315">
        <v>4.0293000000000001</v>
      </c>
      <c r="B315" t="s">
        <v>542</v>
      </c>
    </row>
    <row r="316" spans="1:2" x14ac:dyDescent="0.35">
      <c r="A316">
        <v>4.07</v>
      </c>
      <c r="B316" t="s">
        <v>550</v>
      </c>
    </row>
    <row r="317" spans="1:2" x14ac:dyDescent="0.35">
      <c r="A317">
        <v>4.1635999999999997</v>
      </c>
      <c r="B317" t="s">
        <v>558</v>
      </c>
    </row>
    <row r="318" spans="1:2" x14ac:dyDescent="0.35">
      <c r="A318">
        <v>4.3346</v>
      </c>
      <c r="B318" t="s">
        <v>566</v>
      </c>
    </row>
    <row r="319" spans="1:2" x14ac:dyDescent="0.35">
      <c r="A319">
        <v>4.5788000000000002</v>
      </c>
      <c r="B319" t="s">
        <v>574</v>
      </c>
    </row>
    <row r="320" spans="1:2" x14ac:dyDescent="0.35">
      <c r="A320">
        <v>4.5788000000000002</v>
      </c>
      <c r="B320" t="s">
        <v>582</v>
      </c>
    </row>
    <row r="321" spans="1:2" x14ac:dyDescent="0.35">
      <c r="A321">
        <v>4.8840000000000003</v>
      </c>
      <c r="B321" t="s">
        <v>590</v>
      </c>
    </row>
    <row r="322" spans="1:2" x14ac:dyDescent="0.35">
      <c r="A322">
        <v>5.0875000000000004</v>
      </c>
      <c r="B322" t="s">
        <v>596</v>
      </c>
    </row>
    <row r="323" spans="1:2" x14ac:dyDescent="0.35">
      <c r="A323">
        <v>5.3723999999999998</v>
      </c>
      <c r="B323" t="s">
        <v>602</v>
      </c>
    </row>
    <row r="324" spans="1:2" x14ac:dyDescent="0.35">
      <c r="A324">
        <v>6.1050000000000004</v>
      </c>
      <c r="B324" t="s">
        <v>608</v>
      </c>
    </row>
    <row r="325" spans="1:2" x14ac:dyDescent="0.35">
      <c r="A325">
        <v>7.7838000000000003</v>
      </c>
      <c r="B325" t="s">
        <v>614</v>
      </c>
    </row>
    <row r="326" spans="1:2" x14ac:dyDescent="0.35">
      <c r="A326">
        <v>8.0432000000000006</v>
      </c>
      <c r="B326" t="s">
        <v>620</v>
      </c>
    </row>
    <row r="327" spans="1:2" x14ac:dyDescent="0.35">
      <c r="A327">
        <v>8.3734999999999999</v>
      </c>
      <c r="B327" t="s">
        <v>626</v>
      </c>
    </row>
    <row r="328" spans="1:2" x14ac:dyDescent="0.35">
      <c r="A328">
        <v>11.675700000000001</v>
      </c>
      <c r="B328" t="s">
        <v>632</v>
      </c>
    </row>
    <row r="329" spans="1:2" x14ac:dyDescent="0.35">
      <c r="A329">
        <v>11.7936</v>
      </c>
      <c r="B329" t="s">
        <v>638</v>
      </c>
    </row>
    <row r="330" spans="1:2" x14ac:dyDescent="0.35">
      <c r="A330">
        <v>12.973000000000001</v>
      </c>
      <c r="B330" t="s">
        <v>644</v>
      </c>
    </row>
    <row r="331" spans="1:2" x14ac:dyDescent="0.35">
      <c r="A331">
        <v>15.567600000000001</v>
      </c>
      <c r="B331" t="s">
        <v>650</v>
      </c>
    </row>
    <row r="332" spans="1:2" x14ac:dyDescent="0.35">
      <c r="A332">
        <v>16.086500000000001</v>
      </c>
      <c r="B332" t="s">
        <v>654</v>
      </c>
    </row>
    <row r="333" spans="1:2" x14ac:dyDescent="0.35">
      <c r="A333">
        <v>16.7469</v>
      </c>
      <c r="B333" t="s">
        <v>658</v>
      </c>
    </row>
    <row r="334" spans="1:2" x14ac:dyDescent="0.35">
      <c r="A334">
        <v>5.2910000000000004</v>
      </c>
      <c r="B334" t="s">
        <v>904</v>
      </c>
    </row>
    <row r="335" spans="1:2" x14ac:dyDescent="0.35">
      <c r="A335">
        <v>17.006399999999999</v>
      </c>
      <c r="B335" t="s">
        <v>916</v>
      </c>
    </row>
    <row r="336" spans="1:2" x14ac:dyDescent="0.35">
      <c r="A336">
        <v>15.2727</v>
      </c>
      <c r="B336" t="s">
        <v>926</v>
      </c>
    </row>
    <row r="337" spans="1:2" x14ac:dyDescent="0.35">
      <c r="A337">
        <v>16.57</v>
      </c>
      <c r="B337" t="s">
        <v>928</v>
      </c>
    </row>
    <row r="338" spans="1:2" x14ac:dyDescent="0.35">
      <c r="A338">
        <v>14.270300000000001</v>
      </c>
      <c r="B338" t="s">
        <v>932</v>
      </c>
    </row>
    <row r="339" spans="1:2" x14ac:dyDescent="0.35">
      <c r="A339">
        <v>16.636800000000001</v>
      </c>
      <c r="B339" t="s">
        <v>934</v>
      </c>
    </row>
    <row r="340" spans="1:2" x14ac:dyDescent="0.35">
      <c r="A340">
        <v>15.7346</v>
      </c>
      <c r="B340" t="s">
        <v>936</v>
      </c>
    </row>
    <row r="341" spans="1:2" x14ac:dyDescent="0.35">
      <c r="A341">
        <v>16.921900000000001</v>
      </c>
      <c r="B341" t="s">
        <v>938</v>
      </c>
    </row>
    <row r="342" spans="1:2" x14ac:dyDescent="0.35">
      <c r="A342">
        <v>15.827</v>
      </c>
      <c r="B342" t="s">
        <v>940</v>
      </c>
    </row>
    <row r="343" spans="1:2" x14ac:dyDescent="0.35">
      <c r="A343">
        <v>8.1532999999999998</v>
      </c>
      <c r="B343" t="s">
        <v>942</v>
      </c>
    </row>
    <row r="344" spans="1:2" x14ac:dyDescent="0.35">
      <c r="A344">
        <v>8.0983000000000001</v>
      </c>
      <c r="B344" t="s">
        <v>944</v>
      </c>
    </row>
    <row r="345" spans="1:2" x14ac:dyDescent="0.35">
      <c r="A345">
        <v>7.8624000000000001</v>
      </c>
      <c r="B345" t="s">
        <v>946</v>
      </c>
    </row>
    <row r="346" spans="1:2" x14ac:dyDescent="0.35">
      <c r="A346">
        <v>1.8357000000000001</v>
      </c>
      <c r="B346" t="s">
        <v>427</v>
      </c>
    </row>
    <row r="347" spans="1:2" x14ac:dyDescent="0.35">
      <c r="A347">
        <v>2.2663000000000002</v>
      </c>
      <c r="B347" t="s">
        <v>437</v>
      </c>
    </row>
    <row r="348" spans="1:2" x14ac:dyDescent="0.35">
      <c r="A348">
        <v>2.6455000000000002</v>
      </c>
      <c r="B348" t="s">
        <v>447</v>
      </c>
    </row>
    <row r="349" spans="1:2" x14ac:dyDescent="0.35">
      <c r="A349">
        <v>2.6861999999999999</v>
      </c>
      <c r="B349" t="s">
        <v>457</v>
      </c>
    </row>
    <row r="350" spans="1:2" x14ac:dyDescent="0.35">
      <c r="A350">
        <v>2.6861999999999999</v>
      </c>
      <c r="B350" t="s">
        <v>467</v>
      </c>
    </row>
    <row r="351" spans="1:2" x14ac:dyDescent="0.35">
      <c r="A351">
        <v>2.8877000000000002</v>
      </c>
      <c r="B351" t="s">
        <v>477</v>
      </c>
    </row>
    <row r="352" spans="1:2" x14ac:dyDescent="0.35">
      <c r="A352">
        <v>3.8502000000000001</v>
      </c>
      <c r="B352" t="s">
        <v>487</v>
      </c>
    </row>
    <row r="353" spans="1:2" x14ac:dyDescent="0.35">
      <c r="A353">
        <v>4.0293000000000001</v>
      </c>
      <c r="B353" t="s">
        <v>497</v>
      </c>
    </row>
    <row r="354" spans="1:2" x14ac:dyDescent="0.35">
      <c r="A354">
        <v>4.1635999999999997</v>
      </c>
      <c r="B354" t="s">
        <v>507</v>
      </c>
    </row>
    <row r="355" spans="1:2" x14ac:dyDescent="0.35">
      <c r="A355">
        <v>4.3223000000000003</v>
      </c>
      <c r="B355" t="s">
        <v>517</v>
      </c>
    </row>
    <row r="356" spans="1:2" x14ac:dyDescent="0.35">
      <c r="A356">
        <v>4.3346</v>
      </c>
      <c r="B356" t="s">
        <v>528</v>
      </c>
    </row>
    <row r="357" spans="1:2" x14ac:dyDescent="0.35">
      <c r="A357">
        <v>5.7752999999999997</v>
      </c>
      <c r="B357" t="s">
        <v>536</v>
      </c>
    </row>
    <row r="358" spans="1:2" x14ac:dyDescent="0.35">
      <c r="A358">
        <v>6.4865000000000004</v>
      </c>
      <c r="B358" t="s">
        <v>544</v>
      </c>
    </row>
    <row r="359" spans="1:2" x14ac:dyDescent="0.35">
      <c r="A359">
        <v>6.9188999999999998</v>
      </c>
      <c r="B359" t="s">
        <v>552</v>
      </c>
    </row>
    <row r="360" spans="1:2" x14ac:dyDescent="0.35">
      <c r="A360">
        <v>7.4378000000000002</v>
      </c>
      <c r="B360" t="s">
        <v>560</v>
      </c>
    </row>
    <row r="361" spans="1:2" x14ac:dyDescent="0.35">
      <c r="A361">
        <v>7.7838000000000003</v>
      </c>
      <c r="B361" t="s">
        <v>568</v>
      </c>
    </row>
    <row r="362" spans="1:2" x14ac:dyDescent="0.35">
      <c r="A362">
        <v>4.07</v>
      </c>
      <c r="B362" t="s">
        <v>576</v>
      </c>
    </row>
    <row r="363" spans="1:2" x14ac:dyDescent="0.35">
      <c r="A363">
        <v>7.8624000000000001</v>
      </c>
      <c r="B363" t="s">
        <v>584</v>
      </c>
    </row>
    <row r="364" spans="1:2" x14ac:dyDescent="0.35">
      <c r="A364">
        <v>8.0196000000000005</v>
      </c>
      <c r="B364" t="s">
        <v>592</v>
      </c>
    </row>
    <row r="365" spans="1:2" x14ac:dyDescent="0.35">
      <c r="A365">
        <v>8.0432000000000006</v>
      </c>
      <c r="B365" t="s">
        <v>598</v>
      </c>
    </row>
    <row r="366" spans="1:2" x14ac:dyDescent="0.35">
      <c r="A366">
        <v>8.3675999999999995</v>
      </c>
      <c r="B366" t="s">
        <v>604</v>
      </c>
    </row>
    <row r="367" spans="1:2" x14ac:dyDescent="0.35">
      <c r="A367">
        <v>8.3734999999999999</v>
      </c>
      <c r="B367" t="s">
        <v>610</v>
      </c>
    </row>
    <row r="368" spans="1:2" x14ac:dyDescent="0.35">
      <c r="A368">
        <v>10.466799999999999</v>
      </c>
      <c r="B368" t="s">
        <v>616</v>
      </c>
    </row>
    <row r="369" spans="1:2" x14ac:dyDescent="0.35">
      <c r="A369">
        <v>15.567600000000001</v>
      </c>
      <c r="B369" t="s">
        <v>622</v>
      </c>
    </row>
    <row r="370" spans="1:2" x14ac:dyDescent="0.35">
      <c r="A370">
        <v>16.7469</v>
      </c>
      <c r="B370" t="s">
        <v>628</v>
      </c>
    </row>
    <row r="371" spans="1:2" x14ac:dyDescent="0.35">
      <c r="A371">
        <v>17.454499999999999</v>
      </c>
      <c r="B371" t="s">
        <v>634</v>
      </c>
    </row>
    <row r="372" spans="1:2" x14ac:dyDescent="0.35">
      <c r="A372">
        <v>22.313500000000001</v>
      </c>
      <c r="B372" t="s">
        <v>640</v>
      </c>
    </row>
    <row r="373" spans="1:2" x14ac:dyDescent="0.35">
      <c r="A373">
        <v>25.1204</v>
      </c>
      <c r="B373" t="s">
        <v>646</v>
      </c>
    </row>
    <row r="374" spans="1:2" x14ac:dyDescent="0.35">
      <c r="A374">
        <v>3.8502000000000001</v>
      </c>
      <c r="B374" t="s">
        <v>901</v>
      </c>
    </row>
    <row r="375" spans="1:2" x14ac:dyDescent="0.35">
      <c r="A375">
        <v>4.07</v>
      </c>
      <c r="B375" t="s">
        <v>902</v>
      </c>
    </row>
    <row r="376" spans="1:2" x14ac:dyDescent="0.35">
      <c r="A376">
        <v>3.6141999999999999</v>
      </c>
      <c r="B376" t="s">
        <v>950</v>
      </c>
    </row>
    <row r="377" spans="1:2" x14ac:dyDescent="0.35">
      <c r="A377">
        <v>9.2972999999999999</v>
      </c>
      <c r="B377" t="s">
        <v>952</v>
      </c>
    </row>
    <row r="378" spans="1:2" x14ac:dyDescent="0.35">
      <c r="A378">
        <v>4.8128000000000002</v>
      </c>
      <c r="B378" t="s">
        <v>906</v>
      </c>
    </row>
    <row r="379" spans="1:2" x14ac:dyDescent="0.35">
      <c r="A379">
        <v>6.4865000000000004</v>
      </c>
      <c r="B379" t="s">
        <v>908</v>
      </c>
    </row>
    <row r="380" spans="1:2" x14ac:dyDescent="0.35">
      <c r="A380">
        <v>8.2162000000000006</v>
      </c>
      <c r="B380" t="s">
        <v>910</v>
      </c>
    </row>
    <row r="381" spans="1:2" x14ac:dyDescent="0.35">
      <c r="A381">
        <v>18.712499999999999</v>
      </c>
      <c r="B381" t="s">
        <v>912</v>
      </c>
    </row>
    <row r="382" spans="1:2" x14ac:dyDescent="0.35">
      <c r="A382">
        <v>5.8852000000000002</v>
      </c>
      <c r="B382" t="s">
        <v>914</v>
      </c>
    </row>
    <row r="383" spans="1:2" x14ac:dyDescent="0.35">
      <c r="A383">
        <v>23.587199999999999</v>
      </c>
      <c r="B383" t="s">
        <v>948</v>
      </c>
    </row>
    <row r="384" spans="1:2" x14ac:dyDescent="0.35">
      <c r="A384">
        <v>13.9459</v>
      </c>
      <c r="B384" t="s">
        <v>956</v>
      </c>
    </row>
    <row r="385" spans="1:2" x14ac:dyDescent="0.35">
      <c r="A385">
        <v>11.156700000000001</v>
      </c>
      <c r="B385" t="s">
        <v>918</v>
      </c>
    </row>
    <row r="386" spans="1:2" x14ac:dyDescent="0.35">
      <c r="A386">
        <v>34.126399999999997</v>
      </c>
      <c r="B386" t="s">
        <v>920</v>
      </c>
    </row>
    <row r="387" spans="1:2" x14ac:dyDescent="0.35">
      <c r="A387">
        <v>2.0125000000000002</v>
      </c>
      <c r="B387" t="s">
        <v>922</v>
      </c>
    </row>
    <row r="388" spans="1:2" x14ac:dyDescent="0.35">
      <c r="A388">
        <v>16.491399999999999</v>
      </c>
      <c r="B388" t="s">
        <v>924</v>
      </c>
    </row>
    <row r="389" spans="1:2" x14ac:dyDescent="0.35">
      <c r="A389">
        <v>16.5504</v>
      </c>
      <c r="B389" t="s">
        <v>930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topLeftCell="A2" workbookViewId="0">
      <selection activeCell="E11" sqref="E11"/>
    </sheetView>
  </sheetViews>
  <sheetFormatPr defaultRowHeight="14.5" x14ac:dyDescent="0.35"/>
  <sheetData>
    <row r="1" spans="1:5" ht="15" thickBot="1" x14ac:dyDescent="0.4">
      <c r="A1" s="260" t="s">
        <v>676</v>
      </c>
      <c r="B1" s="261"/>
      <c r="C1" s="261"/>
      <c r="D1" s="261"/>
      <c r="E1" s="262"/>
    </row>
    <row r="2" spans="1:5" ht="15" thickBot="1" x14ac:dyDescent="0.4">
      <c r="A2" s="13"/>
      <c r="B2" s="14"/>
      <c r="C2" s="14"/>
      <c r="D2" s="14"/>
      <c r="E2" s="14"/>
    </row>
    <row r="3" spans="1:5" ht="58.5" thickBot="1" x14ac:dyDescent="0.4">
      <c r="A3" s="13"/>
      <c r="B3" s="15" t="s">
        <v>677</v>
      </c>
      <c r="C3" s="16" t="s">
        <v>678</v>
      </c>
      <c r="D3" s="16" t="s">
        <v>679</v>
      </c>
      <c r="E3" s="17" t="s">
        <v>680</v>
      </c>
    </row>
    <row r="4" spans="1:5" x14ac:dyDescent="0.35">
      <c r="A4" s="263" t="s">
        <v>681</v>
      </c>
      <c r="B4" s="18" t="s">
        <v>682</v>
      </c>
      <c r="C4" s="19"/>
      <c r="D4" s="19">
        <v>99</v>
      </c>
      <c r="E4" s="106">
        <v>116.26</v>
      </c>
    </row>
    <row r="5" spans="1:5" x14ac:dyDescent="0.35">
      <c r="A5" s="264"/>
      <c r="B5" s="20" t="s">
        <v>970</v>
      </c>
      <c r="C5" s="21">
        <v>100</v>
      </c>
      <c r="D5" s="21">
        <v>299</v>
      </c>
      <c r="E5" s="104">
        <v>95.12</v>
      </c>
    </row>
    <row r="6" spans="1:5" x14ac:dyDescent="0.35">
      <c r="A6" s="264"/>
      <c r="B6" s="20" t="s">
        <v>971</v>
      </c>
      <c r="C6" s="21">
        <v>300</v>
      </c>
      <c r="D6" s="21">
        <v>399</v>
      </c>
      <c r="E6" s="104">
        <v>79.27</v>
      </c>
    </row>
    <row r="7" spans="1:5" x14ac:dyDescent="0.35">
      <c r="A7" s="264"/>
      <c r="B7" s="20" t="s">
        <v>972</v>
      </c>
      <c r="C7" s="21">
        <v>400</v>
      </c>
      <c r="D7" s="21">
        <v>699</v>
      </c>
      <c r="E7" s="104">
        <v>73.98</v>
      </c>
    </row>
    <row r="8" spans="1:5" ht="15" thickBot="1" x14ac:dyDescent="0.4">
      <c r="A8" s="265"/>
      <c r="B8" s="20" t="s">
        <v>683</v>
      </c>
      <c r="C8" s="21">
        <v>700</v>
      </c>
      <c r="D8" s="21"/>
      <c r="E8" s="104">
        <v>69.81</v>
      </c>
    </row>
    <row r="9" spans="1:5" x14ac:dyDescent="0.35">
      <c r="A9" s="263" t="s">
        <v>684</v>
      </c>
      <c r="B9" s="18" t="s">
        <v>685</v>
      </c>
      <c r="C9" s="19"/>
      <c r="D9" s="22">
        <v>9999</v>
      </c>
      <c r="E9" s="106">
        <v>69.81</v>
      </c>
    </row>
    <row r="10" spans="1:5" x14ac:dyDescent="0.35">
      <c r="A10" s="264"/>
      <c r="B10" s="20" t="s">
        <v>973</v>
      </c>
      <c r="C10" s="23">
        <v>10000</v>
      </c>
      <c r="D10" s="23">
        <v>19999</v>
      </c>
      <c r="E10" s="104">
        <v>63.41</v>
      </c>
    </row>
    <row r="11" spans="1:5" ht="15" thickBot="1" x14ac:dyDescent="0.4">
      <c r="A11" s="265"/>
      <c r="B11" s="24" t="s">
        <v>686</v>
      </c>
      <c r="C11" s="25">
        <v>20000</v>
      </c>
      <c r="D11" s="26"/>
      <c r="E11" s="105">
        <v>58.13</v>
      </c>
    </row>
    <row r="12" spans="1:5" x14ac:dyDescent="0.35">
      <c r="A12" s="257" t="s">
        <v>687</v>
      </c>
      <c r="B12" s="18" t="s">
        <v>682</v>
      </c>
      <c r="C12" s="19"/>
      <c r="D12" s="19">
        <v>99</v>
      </c>
      <c r="E12" s="106">
        <v>422.75</v>
      </c>
    </row>
    <row r="13" spans="1:5" x14ac:dyDescent="0.35">
      <c r="A13" s="258"/>
      <c r="B13" s="20" t="s">
        <v>974</v>
      </c>
      <c r="C13" s="21">
        <v>100</v>
      </c>
      <c r="D13" s="21">
        <v>249</v>
      </c>
      <c r="E13" s="104">
        <v>95.12</v>
      </c>
    </row>
    <row r="14" spans="1:5" x14ac:dyDescent="0.35">
      <c r="A14" s="258"/>
      <c r="B14" s="20" t="s">
        <v>975</v>
      </c>
      <c r="C14" s="21">
        <v>250</v>
      </c>
      <c r="D14" s="21">
        <v>399</v>
      </c>
      <c r="E14" s="104">
        <v>79.27</v>
      </c>
    </row>
    <row r="15" spans="1:5" x14ac:dyDescent="0.35">
      <c r="A15" s="258"/>
      <c r="B15" s="20" t="s">
        <v>972</v>
      </c>
      <c r="C15" s="21">
        <v>400</v>
      </c>
      <c r="D15" s="21">
        <v>699</v>
      </c>
      <c r="E15" s="104">
        <v>73.98</v>
      </c>
    </row>
    <row r="16" spans="1:5" ht="15" thickBot="1" x14ac:dyDescent="0.4">
      <c r="A16" s="259"/>
      <c r="B16" s="24" t="s">
        <v>683</v>
      </c>
      <c r="C16" s="26">
        <v>700</v>
      </c>
      <c r="D16" s="26"/>
      <c r="E16" s="105">
        <v>69.81</v>
      </c>
    </row>
    <row r="17" spans="1:5" x14ac:dyDescent="0.35">
      <c r="A17" s="263" t="s">
        <v>688</v>
      </c>
      <c r="B17" s="18" t="s">
        <v>682</v>
      </c>
      <c r="C17" s="19"/>
      <c r="D17" s="19">
        <v>99</v>
      </c>
      <c r="E17" s="106">
        <v>137.38999999999999</v>
      </c>
    </row>
    <row r="18" spans="1:5" x14ac:dyDescent="0.35">
      <c r="A18" s="264"/>
      <c r="B18" s="20" t="s">
        <v>976</v>
      </c>
      <c r="C18" s="21">
        <v>100</v>
      </c>
      <c r="D18" s="21">
        <v>374</v>
      </c>
      <c r="E18" s="104">
        <v>100.4</v>
      </c>
    </row>
    <row r="19" spans="1:5" x14ac:dyDescent="0.35">
      <c r="A19" s="264"/>
      <c r="B19" s="20" t="s">
        <v>977</v>
      </c>
      <c r="C19" s="21">
        <v>375</v>
      </c>
      <c r="D19" s="21">
        <v>699</v>
      </c>
      <c r="E19" s="104">
        <v>73.98</v>
      </c>
    </row>
    <row r="20" spans="1:5" x14ac:dyDescent="0.35">
      <c r="A20" s="264"/>
      <c r="B20" s="20" t="s">
        <v>978</v>
      </c>
      <c r="C20" s="21">
        <v>700</v>
      </c>
      <c r="D20" s="23">
        <v>3999</v>
      </c>
      <c r="E20" s="104">
        <v>69.81</v>
      </c>
    </row>
    <row r="21" spans="1:5" ht="15" thickBot="1" x14ac:dyDescent="0.4">
      <c r="A21" s="265"/>
      <c r="B21" s="24" t="s">
        <v>689</v>
      </c>
      <c r="C21" s="25">
        <v>4000</v>
      </c>
      <c r="D21" s="26"/>
      <c r="E21" s="105">
        <v>58.13</v>
      </c>
    </row>
    <row r="22" spans="1:5" x14ac:dyDescent="0.35">
      <c r="A22" s="257" t="s">
        <v>690</v>
      </c>
      <c r="B22" s="18" t="s">
        <v>682</v>
      </c>
      <c r="C22" s="19"/>
      <c r="D22" s="19">
        <v>99</v>
      </c>
      <c r="E22" s="106">
        <v>211.38</v>
      </c>
    </row>
    <row r="23" spans="1:5" x14ac:dyDescent="0.35">
      <c r="A23" s="258"/>
      <c r="B23" s="20" t="s">
        <v>976</v>
      </c>
      <c r="C23" s="21">
        <v>100</v>
      </c>
      <c r="D23" s="21">
        <v>374</v>
      </c>
      <c r="E23" s="104">
        <v>100.4</v>
      </c>
    </row>
    <row r="24" spans="1:5" x14ac:dyDescent="0.35">
      <c r="A24" s="258"/>
      <c r="B24" s="20" t="s">
        <v>977</v>
      </c>
      <c r="C24" s="21">
        <v>375</v>
      </c>
      <c r="D24" s="21">
        <v>699</v>
      </c>
      <c r="E24" s="104">
        <v>73.98</v>
      </c>
    </row>
    <row r="25" spans="1:5" ht="15" thickBot="1" x14ac:dyDescent="0.4">
      <c r="A25" s="259"/>
      <c r="B25" s="24" t="s">
        <v>683</v>
      </c>
      <c r="C25" s="26">
        <v>700</v>
      </c>
      <c r="D25" s="26"/>
      <c r="E25" s="105">
        <v>69.81</v>
      </c>
    </row>
    <row r="26" spans="1:5" x14ac:dyDescent="0.35">
      <c r="A26" t="s">
        <v>691</v>
      </c>
      <c r="D26" s="27">
        <v>99</v>
      </c>
    </row>
    <row r="27" spans="1:5" x14ac:dyDescent="0.35">
      <c r="C27" s="28">
        <v>100</v>
      </c>
      <c r="D27" s="27">
        <v>374</v>
      </c>
    </row>
    <row r="28" spans="1:5" x14ac:dyDescent="0.35">
      <c r="C28" s="28">
        <v>375</v>
      </c>
      <c r="D28" s="27">
        <v>699</v>
      </c>
    </row>
    <row r="29" spans="1:5" x14ac:dyDescent="0.35">
      <c r="C29" s="28">
        <v>700</v>
      </c>
      <c r="D29" s="27">
        <v>3999</v>
      </c>
    </row>
    <row r="30" spans="1:5" x14ac:dyDescent="0.35">
      <c r="C30" s="28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4E822-4179-4BDB-8BE9-0DF27305A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75C51-9891-4F15-A920-158A6ECE922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7bfb68b-a3bb-4a28-a4e0-f34ef2d57dd6"/>
    <ds:schemaRef ds:uri="3ed7015c-3088-4573-a2b5-1c16df166eeb"/>
  </ds:schemaRefs>
</ds:datastoreItem>
</file>

<file path=customXml/itemProps3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Sheet1</vt:lpstr>
      <vt:lpstr>MIN MKUP 05-01</vt:lpstr>
      <vt:lpstr>SRP</vt:lpstr>
      <vt:lpstr>Micro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2022-11-07T21:48:17Z</cp:lastPrinted>
  <dcterms:created xsi:type="dcterms:W3CDTF">2017-01-25T15:18:40Z</dcterms:created>
  <dcterms:modified xsi:type="dcterms:W3CDTF">2024-05-01T22:47:09Z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