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Form/"/>
    </mc:Choice>
  </mc:AlternateContent>
  <xr:revisionPtr revIDLastSave="0" documentId="8_{E2E6A0B2-8131-47EF-80F8-F27D1ECFEFFF}" xr6:coauthVersionLast="45" xr6:coauthVersionMax="45" xr10:uidLastSave="{00000000-0000-0000-0000-000000000000}"/>
  <workbookProtection workbookAlgorithmName="SHA-512" workbookHashValue="I/amyb/dqAxqZEmtKkBTLZFivpnJBAfXh6CFR3LrhcyuvLf/30LxRYPp+9gO1gb3BfZxr1lGGwKxUKcempVHmA==" workbookSaltValue="enCJEvL6qSduai/G7BbhpQ==" workbookSpinCount="100000" lockStructure="1"/>
  <bookViews>
    <workbookView xWindow="28680" yWindow="-165" windowWidth="29040" windowHeight="15840" tabRatio="728" xr2:uid="{00000000-000D-0000-FFFF-FFFF00000000}"/>
  </bookViews>
  <sheets>
    <sheet name="Price Calculator" sheetId="3" r:id="rId1"/>
    <sheet name="Beer Classifications" sheetId="17" state="hidden" r:id="rId2"/>
    <sheet name="Rates" sheetId="4" state="hidden" r:id="rId3"/>
  </sheets>
  <definedNames>
    <definedName name="_xlnm._FilterDatabase" localSheetId="0" hidden="1">'Price Calculator'!$A$5:$AZ$25</definedName>
    <definedName name="Type">Rates!$N$2:$N$4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3" l="1"/>
  <c r="Q6" i="3" l="1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L9" i="3" l="1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V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6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M6" i="3" l="1"/>
  <c r="X6" i="3"/>
  <c r="AA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M8" i="3" l="1"/>
  <c r="X8" i="3"/>
  <c r="AA8" i="3"/>
  <c r="X7" i="3"/>
  <c r="AA7" i="3"/>
  <c r="M7" i="3"/>
  <c r="R8" i="3"/>
  <c r="R6" i="3"/>
  <c r="Y6" i="3"/>
  <c r="R7" i="3"/>
  <c r="Z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B21" i="3"/>
  <c r="AB23" i="3"/>
  <c r="AB24" i="3"/>
  <c r="AB25" i="3"/>
  <c r="I8" i="4" l="1"/>
  <c r="K8" i="4"/>
  <c r="I16" i="4"/>
  <c r="I17" i="4"/>
  <c r="I18" i="4"/>
  <c r="I19" i="4"/>
  <c r="I15" i="4"/>
  <c r="AD14" i="3"/>
  <c r="AR14" i="3"/>
  <c r="AK14" i="3" s="1"/>
  <c r="AW14" i="3"/>
  <c r="AU14" i="3" s="1"/>
  <c r="AM14" i="3" l="1"/>
  <c r="AP14" i="3"/>
  <c r="AX14" i="3"/>
  <c r="AL14" i="3"/>
  <c r="Y14" i="3"/>
  <c r="Z14" i="3"/>
  <c r="AO14" i="3"/>
  <c r="AN14" i="3"/>
  <c r="AQ14" i="3"/>
  <c r="AB14" i="3" l="1"/>
  <c r="AY14" i="3" s="1"/>
  <c r="AZ14" i="3" s="1"/>
  <c r="AV14" i="3" l="1"/>
  <c r="N14" i="3"/>
  <c r="AW6" i="3" l="1"/>
  <c r="AU6" i="3" s="1"/>
  <c r="AW7" i="3"/>
  <c r="AW8" i="3"/>
  <c r="K8" i="3" s="1"/>
  <c r="AW9" i="3"/>
  <c r="AW10" i="3"/>
  <c r="AU10" i="3" s="1"/>
  <c r="AW11" i="3"/>
  <c r="AW12" i="3"/>
  <c r="AW13" i="3"/>
  <c r="AU13" i="3" s="1"/>
  <c r="AW16" i="3"/>
  <c r="AW17" i="3"/>
  <c r="AU17" i="3" s="1"/>
  <c r="AW18" i="3"/>
  <c r="AU18" i="3" s="1"/>
  <c r="AW19" i="3"/>
  <c r="AW20" i="3"/>
  <c r="AU20" i="3" s="1"/>
  <c r="AW21" i="3"/>
  <c r="AU21" i="3" s="1"/>
  <c r="AW22" i="3"/>
  <c r="AU22" i="3" s="1"/>
  <c r="AW23" i="3"/>
  <c r="AU23" i="3" s="1"/>
  <c r="AW24" i="3"/>
  <c r="AU24" i="3" s="1"/>
  <c r="AW25" i="3"/>
  <c r="AU25" i="3" s="1"/>
  <c r="AW15" i="3"/>
  <c r="AU15" i="3" s="1"/>
  <c r="AD6" i="3"/>
  <c r="AD7" i="3"/>
  <c r="AD8" i="3"/>
  <c r="AD9" i="3"/>
  <c r="AD10" i="3"/>
  <c r="AD11" i="3"/>
  <c r="AD12" i="3"/>
  <c r="AD13" i="3"/>
  <c r="AD16" i="3"/>
  <c r="AD17" i="3"/>
  <c r="AD18" i="3"/>
  <c r="AD19" i="3"/>
  <c r="AD20" i="3"/>
  <c r="AD21" i="3"/>
  <c r="AD22" i="3"/>
  <c r="AD23" i="3"/>
  <c r="AD24" i="3"/>
  <c r="AD25" i="3"/>
  <c r="AS24" i="3" l="1"/>
  <c r="AS12" i="3"/>
  <c r="AU12" i="3"/>
  <c r="AX11" i="3"/>
  <c r="AU11" i="3"/>
  <c r="AS19" i="3"/>
  <c r="AU19" i="3"/>
  <c r="AS16" i="3"/>
  <c r="AU16" i="3"/>
  <c r="AX9" i="3"/>
  <c r="AU9" i="3"/>
  <c r="AX8" i="3"/>
  <c r="AY8" i="3" s="1"/>
  <c r="AZ8" i="3" s="1"/>
  <c r="AX23" i="3"/>
  <c r="AT23" i="3"/>
  <c r="AX19" i="3"/>
  <c r="AT19" i="3"/>
  <c r="AY22" i="3"/>
  <c r="AX22" i="3"/>
  <c r="AT22" i="3"/>
  <c r="AY18" i="3"/>
  <c r="AX18" i="3"/>
  <c r="AT18" i="3"/>
  <c r="AY12" i="3"/>
  <c r="AX12" i="3"/>
  <c r="AT12" i="3"/>
  <c r="AX21" i="3"/>
  <c r="AT21" i="3"/>
  <c r="AX17" i="3"/>
  <c r="AT17" i="3"/>
  <c r="AX24" i="3"/>
  <c r="AT24" i="3"/>
  <c r="AX20" i="3"/>
  <c r="AT20" i="3"/>
  <c r="AX16" i="3"/>
  <c r="AT16" i="3"/>
  <c r="AS18" i="3"/>
  <c r="AS22" i="3"/>
  <c r="AV21" i="3"/>
  <c r="AZ19" i="3"/>
  <c r="AV17" i="3"/>
  <c r="AS21" i="3"/>
  <c r="AS17" i="3"/>
  <c r="AZ21" i="3"/>
  <c r="AS20" i="3"/>
  <c r="AY21" i="3"/>
  <c r="AV19" i="3"/>
  <c r="AY17" i="3"/>
  <c r="AV22" i="3"/>
  <c r="AZ17" i="3"/>
  <c r="AV12" i="3"/>
  <c r="AV18" i="3"/>
  <c r="AZ12" i="3"/>
  <c r="AY24" i="3"/>
  <c r="AV24" i="3"/>
  <c r="AZ24" i="3"/>
  <c r="AY20" i="3"/>
  <c r="AV20" i="3"/>
  <c r="AZ20" i="3"/>
  <c r="AY16" i="3"/>
  <c r="AV16" i="3"/>
  <c r="AZ16" i="3"/>
  <c r="AY19" i="3"/>
  <c r="AZ22" i="3"/>
  <c r="AZ18" i="3"/>
  <c r="AV8" i="3" l="1"/>
  <c r="AT8" i="3" s="1"/>
  <c r="L8" i="3"/>
  <c r="N24" i="3"/>
  <c r="AU8" i="3" l="1"/>
  <c r="AS8" i="3" s="1"/>
  <c r="J8" i="3" s="1"/>
  <c r="AC25" i="3"/>
  <c r="AB9" i="3" l="1"/>
  <c r="AB18" i="3"/>
  <c r="AB12" i="3"/>
  <c r="AB11" i="3"/>
  <c r="AB20" i="3"/>
  <c r="AB15" i="3"/>
  <c r="AB13" i="3"/>
  <c r="AB22" i="3"/>
  <c r="AB17" i="3"/>
  <c r="AB8" i="3"/>
  <c r="AB16" i="3"/>
  <c r="AB10" i="3"/>
  <c r="AB19" i="3"/>
  <c r="K5" i="4"/>
  <c r="K6" i="4"/>
  <c r="I5" i="4"/>
  <c r="I6" i="4"/>
  <c r="AX13" i="3" l="1"/>
  <c r="AX15" i="3"/>
  <c r="AX25" i="3"/>
  <c r="AR18" i="3" l="1"/>
  <c r="Y19" i="3"/>
  <c r="AR19" i="3"/>
  <c r="AR20" i="3"/>
  <c r="Y21" i="3"/>
  <c r="AR21" i="3"/>
  <c r="AK21" i="3" s="1"/>
  <c r="AR22" i="3"/>
  <c r="Y23" i="3"/>
  <c r="AR23" i="3"/>
  <c r="AK23" i="3" s="1"/>
  <c r="AR24" i="3"/>
  <c r="AK24" i="3" s="1"/>
  <c r="AR25" i="3"/>
  <c r="AK25" i="3" s="1"/>
  <c r="AR6" i="3"/>
  <c r="L6" i="3" s="1"/>
  <c r="AR7" i="3"/>
  <c r="AP7" i="3" s="1"/>
  <c r="AR8" i="3"/>
  <c r="AP8" i="3" s="1"/>
  <c r="AR9" i="3"/>
  <c r="AR10" i="3"/>
  <c r="AR11" i="3"/>
  <c r="AP11" i="3" s="1"/>
  <c r="AR12" i="3"/>
  <c r="AP12" i="3" s="1"/>
  <c r="AR13" i="3"/>
  <c r="AK13" i="3" s="1"/>
  <c r="AR15" i="3"/>
  <c r="AK15" i="3" s="1"/>
  <c r="AR16" i="3"/>
  <c r="AR17" i="3"/>
  <c r="AD15" i="3"/>
  <c r="AP22" i="3" l="1"/>
  <c r="AK22" i="3"/>
  <c r="AP19" i="3"/>
  <c r="AK19" i="3"/>
  <c r="AP17" i="3"/>
  <c r="AK17" i="3"/>
  <c r="AP16" i="3"/>
  <c r="AK16" i="3"/>
  <c r="AP18" i="3"/>
  <c r="AK18" i="3"/>
  <c r="AP20" i="3"/>
  <c r="AK20" i="3"/>
  <c r="AP13" i="3"/>
  <c r="AL13" i="3"/>
  <c r="AP24" i="3"/>
  <c r="AL24" i="3"/>
  <c r="AM24" i="3"/>
  <c r="AN24" i="3"/>
  <c r="AP21" i="3"/>
  <c r="AL21" i="3"/>
  <c r="AM23" i="3"/>
  <c r="AP23" i="3"/>
  <c r="AL23" i="3"/>
  <c r="AM15" i="3"/>
  <c r="AP15" i="3"/>
  <c r="AL15" i="3"/>
  <c r="AP10" i="3"/>
  <c r="AL10" i="3"/>
  <c r="AP25" i="3"/>
  <c r="AL25" i="3"/>
  <c r="AL11" i="3"/>
  <c r="AM25" i="3"/>
  <c r="AN25" i="3"/>
  <c r="AM13" i="3"/>
  <c r="AN13" i="3"/>
  <c r="AO23" i="3"/>
  <c r="Z18" i="3"/>
  <c r="Y24" i="3"/>
  <c r="Y20" i="3"/>
  <c r="Y18" i="3"/>
  <c r="Z22" i="3"/>
  <c r="Z24" i="3"/>
  <c r="AY23" i="3"/>
  <c r="AZ23" i="3" s="1"/>
  <c r="Z21" i="3"/>
  <c r="Z20" i="3"/>
  <c r="T25" i="3"/>
  <c r="Z25" i="3" s="1"/>
  <c r="Y22" i="3"/>
  <c r="Z19" i="3"/>
  <c r="Y25" i="3"/>
  <c r="Z23" i="3"/>
  <c r="AY25" i="3" l="1"/>
  <c r="AZ25" i="3" s="1"/>
  <c r="AP9" i="3" l="1"/>
  <c r="AX10" i="3"/>
  <c r="AX6" i="3" l="1"/>
  <c r="AX7" i="3"/>
  <c r="AC7" i="3"/>
  <c r="AB7" i="3"/>
  <c r="AP6" i="3"/>
  <c r="AC6" i="3"/>
  <c r="AB6" i="3"/>
  <c r="AY15" i="3"/>
  <c r="AZ15" i="3" s="1"/>
  <c r="AY7" i="3" l="1"/>
  <c r="AZ7" i="3" s="1"/>
  <c r="AY6" i="3"/>
  <c r="AZ6" i="3" s="1"/>
  <c r="B3" i="1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2" i="17"/>
  <c r="K12" i="4"/>
  <c r="I12" i="4"/>
  <c r="K11" i="4"/>
  <c r="I11" i="4"/>
  <c r="K10" i="4"/>
  <c r="I10" i="4"/>
  <c r="K7" i="4"/>
  <c r="I7" i="4"/>
  <c r="K4" i="4"/>
  <c r="I4" i="4"/>
  <c r="AT14" i="3" l="1"/>
  <c r="AS14" i="3" s="1"/>
  <c r="AQ22" i="3"/>
  <c r="AN22" i="3" s="1"/>
  <c r="AL22" i="3" s="1"/>
  <c r="AQ18" i="3"/>
  <c r="AN18" i="3" s="1"/>
  <c r="AL18" i="3" s="1"/>
  <c r="AQ20" i="3"/>
  <c r="AN20" i="3" s="1"/>
  <c r="AL20" i="3" s="1"/>
  <c r="AQ19" i="3"/>
  <c r="AN19" i="3" s="1"/>
  <c r="AL19" i="3" s="1"/>
  <c r="AQ21" i="3"/>
  <c r="AN21" i="3" s="1"/>
  <c r="AM21" i="3" s="1"/>
  <c r="AQ23" i="3"/>
  <c r="AN23" i="3" s="1"/>
  <c r="AQ25" i="3"/>
  <c r="AQ24" i="3"/>
  <c r="Y12" i="3"/>
  <c r="AY11" i="3"/>
  <c r="AZ11" i="3" s="1"/>
  <c r="Y16" i="3"/>
  <c r="Y15" i="3"/>
  <c r="Y17" i="3"/>
  <c r="Y13" i="3"/>
  <c r="Z17" i="3"/>
  <c r="Z15" i="3"/>
  <c r="Z12" i="3"/>
  <c r="Z13" i="3"/>
  <c r="Z16" i="3"/>
  <c r="Z9" i="3"/>
  <c r="Y9" i="3"/>
  <c r="Z8" i="3"/>
  <c r="Y8" i="3"/>
  <c r="Z10" i="3"/>
  <c r="Y10" i="3"/>
  <c r="Z11" i="3"/>
  <c r="Y11" i="3"/>
  <c r="Z7" i="3"/>
  <c r="Y7" i="3"/>
  <c r="AM22" i="3" l="1"/>
  <c r="AM19" i="3"/>
  <c r="AM20" i="3"/>
  <c r="AM18" i="3"/>
  <c r="AV11" i="3"/>
  <c r="AQ11" i="3"/>
  <c r="AN11" i="3" s="1"/>
  <c r="AM11" i="3" s="1"/>
  <c r="AO24" i="3"/>
  <c r="AO22" i="3"/>
  <c r="AO25" i="3"/>
  <c r="AQ12" i="3"/>
  <c r="AY13" i="3"/>
  <c r="AZ13" i="3" s="1"/>
  <c r="AY9" i="3"/>
  <c r="AZ9" i="3" s="1"/>
  <c r="AY10" i="3"/>
  <c r="AZ10" i="3" s="1"/>
  <c r="AV6" i="3" l="1"/>
  <c r="AT6" i="3" s="1"/>
  <c r="AS6" i="3" s="1"/>
  <c r="AT11" i="3"/>
  <c r="AS11" i="3" s="1"/>
  <c r="AN12" i="3"/>
  <c r="AL12" i="3" s="1"/>
  <c r="AV9" i="3"/>
  <c r="AV13" i="3"/>
  <c r="AV10" i="3"/>
  <c r="AV15" i="3"/>
  <c r="AQ13" i="3"/>
  <c r="AQ17" i="3"/>
  <c r="AN17" i="3" s="1"/>
  <c r="AL17" i="3" s="1"/>
  <c r="AQ16" i="3"/>
  <c r="AO18" i="3"/>
  <c r="AQ10" i="3"/>
  <c r="AQ6" i="3"/>
  <c r="AQ15" i="3"/>
  <c r="AN15" i="3" s="1"/>
  <c r="AQ7" i="3"/>
  <c r="AQ8" i="3"/>
  <c r="AQ9" i="3"/>
  <c r="AO12" i="3"/>
  <c r="AO13" i="3"/>
  <c r="AT9" i="3" l="1"/>
  <c r="AS9" i="3" s="1"/>
  <c r="AT15" i="3"/>
  <c r="AS15" i="3" s="1"/>
  <c r="AT10" i="3"/>
  <c r="AS10" i="3" s="1"/>
  <c r="AT13" i="3"/>
  <c r="AS13" i="3" s="1"/>
  <c r="AM17" i="3"/>
  <c r="AM12" i="3"/>
  <c r="AK12" i="3" s="1"/>
  <c r="AN16" i="3"/>
  <c r="AL16" i="3" s="1"/>
  <c r="AO15" i="3"/>
  <c r="AN6" i="3"/>
  <c r="AL6" i="3" s="1"/>
  <c r="AN10" i="3"/>
  <c r="AM10" i="3" s="1"/>
  <c r="AN9" i="3"/>
  <c r="AN8" i="3"/>
  <c r="AL8" i="3" s="1"/>
  <c r="AN7" i="3"/>
  <c r="AL7" i="3" s="1"/>
  <c r="AK11" i="3"/>
  <c r="AO20" i="3"/>
  <c r="AO19" i="3"/>
  <c r="AO21" i="3"/>
  <c r="AO16" i="3"/>
  <c r="AO11" i="3"/>
  <c r="AL9" i="3" l="1"/>
  <c r="AM9" i="3" s="1"/>
  <c r="AK9" i="3" s="1"/>
  <c r="AM7" i="3"/>
  <c r="AK7" i="3" s="1"/>
  <c r="J7" i="3" s="1"/>
  <c r="AM8" i="3"/>
  <c r="AK8" i="3" s="1"/>
  <c r="AM16" i="3"/>
  <c r="AM6" i="3"/>
  <c r="AK6" i="3" s="1"/>
  <c r="J6" i="3" s="1"/>
  <c r="AK10" i="3"/>
  <c r="AO17" i="3"/>
  <c r="AO9" i="3"/>
  <c r="AO7" i="3"/>
  <c r="AO8" i="3"/>
  <c r="AO10" i="3"/>
  <c r="AO6" i="3" l="1"/>
  <c r="K6" i="3" s="1"/>
  <c r="N25" i="3"/>
  <c r="N19" i="3"/>
  <c r="N11" i="3"/>
  <c r="N22" i="3" l="1"/>
  <c r="N23" i="3"/>
  <c r="N16" i="3"/>
  <c r="N17" i="3"/>
  <c r="N18" i="3"/>
  <c r="N21" i="3"/>
  <c r="N20" i="3"/>
  <c r="N13" i="3"/>
  <c r="N9" i="3"/>
  <c r="N10" i="3"/>
  <c r="N12" i="3" l="1"/>
  <c r="N15" i="3" l="1"/>
  <c r="AV23" i="3" l="1"/>
  <c r="AS23" i="3"/>
  <c r="AV25" i="3" l="1"/>
  <c r="AT25" i="3" s="1"/>
  <c r="AS25" i="3" s="1"/>
  <c r="AH23" i="3"/>
  <c r="AJ23" i="3"/>
  <c r="AI23" i="3"/>
  <c r="AF23" i="3"/>
  <c r="AE23" i="3"/>
  <c r="AG23" i="3"/>
  <c r="AF12" i="3"/>
  <c r="AG12" i="3"/>
  <c r="AH12" i="3"/>
  <c r="AI12" i="3"/>
  <c r="AE12" i="3"/>
  <c r="AJ12" i="3"/>
  <c r="AI19" i="3"/>
  <c r="AH19" i="3"/>
  <c r="AJ19" i="3"/>
  <c r="AG19" i="3"/>
  <c r="AE19" i="3"/>
  <c r="AF19" i="3"/>
  <c r="AJ17" i="3"/>
  <c r="AF17" i="3"/>
  <c r="AH17" i="3"/>
  <c r="AG17" i="3"/>
  <c r="AE17" i="3"/>
  <c r="AI17" i="3"/>
  <c r="AH21" i="3"/>
  <c r="AF21" i="3"/>
  <c r="AJ21" i="3"/>
  <c r="AI21" i="3"/>
  <c r="AE21" i="3"/>
  <c r="AG21" i="3"/>
  <c r="AJ10" i="3"/>
  <c r="AI10" i="3"/>
  <c r="AF10" i="3"/>
  <c r="AG10" i="3"/>
  <c r="AE10" i="3"/>
  <c r="AH10" i="3"/>
  <c r="AF25" i="3"/>
  <c r="AH25" i="3"/>
  <c r="AI25" i="3"/>
  <c r="AG25" i="3"/>
  <c r="AE25" i="3"/>
  <c r="AJ25" i="3"/>
  <c r="AF15" i="3"/>
  <c r="AG15" i="3"/>
  <c r="AH15" i="3"/>
  <c r="AJ15" i="3"/>
  <c r="AE15" i="3"/>
  <c r="AI15" i="3"/>
  <c r="AE6" i="3"/>
  <c r="AF6" i="3" s="1"/>
  <c r="AG6" i="3" s="1"/>
  <c r="AG13" i="3"/>
  <c r="AJ13" i="3"/>
  <c r="AI13" i="3"/>
  <c r="AF13" i="3"/>
  <c r="AE13" i="3"/>
  <c r="AH13" i="3"/>
  <c r="AF11" i="3"/>
  <c r="AG11" i="3"/>
  <c r="AH11" i="3"/>
  <c r="AJ11" i="3"/>
  <c r="AE11" i="3"/>
  <c r="AI11" i="3"/>
  <c r="AI22" i="3"/>
  <c r="AF22" i="3"/>
  <c r="AH22" i="3"/>
  <c r="AJ22" i="3"/>
  <c r="AE22" i="3"/>
  <c r="AG22" i="3"/>
  <c r="AF24" i="3"/>
  <c r="AG24" i="3"/>
  <c r="AH24" i="3"/>
  <c r="AJ24" i="3"/>
  <c r="AE24" i="3"/>
  <c r="AI24" i="3"/>
  <c r="AG16" i="3"/>
  <c r="AH16" i="3"/>
  <c r="AI16" i="3"/>
  <c r="AJ16" i="3"/>
  <c r="AE16" i="3"/>
  <c r="AF16" i="3"/>
  <c r="AH14" i="3"/>
  <c r="AG14" i="3"/>
  <c r="AF14" i="3"/>
  <c r="AI14" i="3"/>
  <c r="AE14" i="3"/>
  <c r="AJ14" i="3"/>
  <c r="AF9" i="3"/>
  <c r="AG9" i="3"/>
  <c r="AH9" i="3"/>
  <c r="AJ9" i="3"/>
  <c r="AE9" i="3"/>
  <c r="AI9" i="3"/>
  <c r="AE8" i="3"/>
  <c r="AF8" i="3" s="1"/>
  <c r="AE7" i="3"/>
  <c r="AF7" i="3" s="1"/>
  <c r="AG7" i="3" s="1"/>
  <c r="K7" i="3" s="1"/>
  <c r="AJ18" i="3"/>
  <c r="AF18" i="3"/>
  <c r="AI18" i="3"/>
  <c r="AH18" i="3"/>
  <c r="AE18" i="3"/>
  <c r="AG18" i="3"/>
  <c r="AG20" i="3"/>
  <c r="AF20" i="3"/>
  <c r="AJ20" i="3"/>
  <c r="AH20" i="3"/>
  <c r="AE20" i="3"/>
  <c r="AI20" i="3"/>
  <c r="AH7" i="3" l="1"/>
  <c r="AI7" i="3" s="1"/>
  <c r="AJ7" i="3" s="1"/>
  <c r="L7" i="3" s="1"/>
  <c r="AH6" i="3"/>
  <c r="AI6" i="3" s="1"/>
  <c r="AJ6" i="3" s="1"/>
  <c r="N6" i="3" s="1"/>
  <c r="N7" i="3" l="1"/>
  <c r="AT7" i="3"/>
  <c r="AU7" i="3" s="1"/>
  <c r="AV7" i="3" l="1"/>
  <c r="AS7" i="3"/>
  <c r="AJ8" i="3"/>
  <c r="AH8" i="3" s="1"/>
  <c r="AI8" i="3" s="1"/>
  <c r="AG8" i="3" s="1"/>
  <c r="N8" i="3" l="1"/>
</calcChain>
</file>

<file path=xl/sharedStrings.xml><?xml version="1.0" encoding="utf-8"?>
<sst xmlns="http://schemas.openxmlformats.org/spreadsheetml/2006/main" count="160" uniqueCount="136">
  <si>
    <t>Privately Distributed Product Price Calculator</t>
  </si>
  <si>
    <t>General Pricing</t>
  </si>
  <si>
    <t>Reverse Pricing - Retail Price</t>
  </si>
  <si>
    <t>Reverse Pricing - Licensee Retail</t>
  </si>
  <si>
    <t>Category</t>
  </si>
  <si>
    <t>Micro Level</t>
  </si>
  <si>
    <t>Input Value</t>
  </si>
  <si>
    <t>Type</t>
  </si>
  <si>
    <t>Gross Price to Brewers</t>
  </si>
  <si>
    <t>LIC/VEN Retail</t>
  </si>
  <si>
    <t>Social Reference Pricing</t>
  </si>
  <si>
    <t>Above SRP</t>
  </si>
  <si>
    <t>Level</t>
  </si>
  <si>
    <t>Level Markup %</t>
  </si>
  <si>
    <t>Package Type        (Can, Bottle, Keg)</t>
  </si>
  <si>
    <t>Selling Unit Size (L)</t>
  </si>
  <si>
    <t>Units /Package</t>
  </si>
  <si>
    <t>Litre  Equivalents</t>
  </si>
  <si>
    <t>Alc. % /Vol.</t>
  </si>
  <si>
    <t>Surcharge</t>
  </si>
  <si>
    <t>Handling Charge</t>
  </si>
  <si>
    <t>Equilization</t>
  </si>
  <si>
    <t xml:space="preserve">Minimum Markup 
49% </t>
  </si>
  <si>
    <t>Minimum Markup 
17%</t>
  </si>
  <si>
    <t>Ref. Bev. Minimum  Markup</t>
  </si>
  <si>
    <t>Natural Markup</t>
  </si>
  <si>
    <t>Markup $</t>
  </si>
  <si>
    <t>Price to Licensees</t>
  </si>
  <si>
    <t>Retail Price</t>
  </si>
  <si>
    <t>After Markup Value</t>
  </si>
  <si>
    <t>Alcohol Percent</t>
  </si>
  <si>
    <t>Size</t>
  </si>
  <si>
    <t>Less than or equal to Economy</t>
  </si>
  <si>
    <t>More than or equal to Deluxe</t>
  </si>
  <si>
    <t>Markup &amp; Surcharge</t>
  </si>
  <si>
    <t>Beer</t>
  </si>
  <si>
    <t>&lt;10 litres</t>
  </si>
  <si>
    <t xml:space="preserve">Lic/Ven </t>
  </si>
  <si>
    <t>Markup</t>
  </si>
  <si>
    <t>10 - 20 litres</t>
  </si>
  <si>
    <t>&gt;=20 litres</t>
  </si>
  <si>
    <t>Refreshment Beverages</t>
  </si>
  <si>
    <t>&lt;100 mL</t>
  </si>
  <si>
    <t>100-250 mL</t>
  </si>
  <si>
    <t>250-400 mL</t>
  </si>
  <si>
    <t>400-700 mL</t>
  </si>
  <si>
    <t>&gt;=700 mL</t>
  </si>
  <si>
    <t>Minimum Markup</t>
  </si>
  <si>
    <t>Refreshment Beverage</t>
  </si>
  <si>
    <t xml:space="preserve">Per Litre &lt;1 litre </t>
  </si>
  <si>
    <t xml:space="preserve">Per Litre 1.001 ‐ 3.000 litres </t>
  </si>
  <si>
    <t>Per litre 3.001 ‐ 13.000 litres</t>
  </si>
  <si>
    <t>Kegs &gt;13.000 litres</t>
  </si>
  <si>
    <t>Microbrewery Minimum Markup</t>
  </si>
  <si>
    <t>Micro Refreshment Beverage/Cider Minimum Markup</t>
  </si>
  <si>
    <t>Refreshment Beverage Minimum Markup</t>
  </si>
  <si>
    <t>MM1552</t>
  </si>
  <si>
    <t>MM1095</t>
  </si>
  <si>
    <t>MM1775</t>
  </si>
  <si>
    <t>MM1768</t>
  </si>
  <si>
    <t>MM1259</t>
  </si>
  <si>
    <t>MM2115</t>
  </si>
  <si>
    <t>MM2138</t>
  </si>
  <si>
    <t>MM2140</t>
  </si>
  <si>
    <t>MM1551</t>
  </si>
  <si>
    <t>MM1870</t>
  </si>
  <si>
    <t>MM1873</t>
  </si>
  <si>
    <t>MM1097</t>
  </si>
  <si>
    <t>MM1874</t>
  </si>
  <si>
    <t>MM2549</t>
  </si>
  <si>
    <t>MM2551</t>
  </si>
  <si>
    <t>MM1257</t>
  </si>
  <si>
    <t>MM1890</t>
  </si>
  <si>
    <t>MM2554</t>
  </si>
  <si>
    <t>MM1335</t>
  </si>
  <si>
    <t>MM2118</t>
  </si>
  <si>
    <t>MM2305</t>
  </si>
  <si>
    <t>MM2307</t>
  </si>
  <si>
    <t>MM1363</t>
  </si>
  <si>
    <t>MM2552</t>
  </si>
  <si>
    <t>MM1365</t>
  </si>
  <si>
    <t>MM1370</t>
  </si>
  <si>
    <t>MM1419</t>
  </si>
  <si>
    <t>MM1567</t>
  </si>
  <si>
    <t>MM1420</t>
  </si>
  <si>
    <t>MM2010</t>
  </si>
  <si>
    <t>MM2556</t>
  </si>
  <si>
    <t>MM1430</t>
  </si>
  <si>
    <t>MM1438</t>
  </si>
  <si>
    <t>MM1440</t>
  </si>
  <si>
    <t>MM1450</t>
  </si>
  <si>
    <t>MM1451</t>
  </si>
  <si>
    <t>MM1453</t>
  </si>
  <si>
    <t>MM1455</t>
  </si>
  <si>
    <t>MM1543</t>
  </si>
  <si>
    <t>MM2095</t>
  </si>
  <si>
    <t>MM1544</t>
  </si>
  <si>
    <t>MM1547</t>
  </si>
  <si>
    <t>MM1545</t>
  </si>
  <si>
    <t>MM1588</t>
  </si>
  <si>
    <t>MM1364</t>
  </si>
  <si>
    <t>MM1801</t>
  </si>
  <si>
    <t>MM1814</t>
  </si>
  <si>
    <t>MM1815</t>
  </si>
  <si>
    <t>MM1820</t>
  </si>
  <si>
    <t>MM1840</t>
  </si>
  <si>
    <t>MM1845</t>
  </si>
  <si>
    <t>MM1850</t>
  </si>
  <si>
    <t>MM1546</t>
  </si>
  <si>
    <t>MM1548</t>
  </si>
  <si>
    <t>MM1859</t>
  </si>
  <si>
    <t>MM1093</t>
  </si>
  <si>
    <t>MM1550</t>
  </si>
  <si>
    <t>MM2550</t>
  </si>
  <si>
    <t>MM2553</t>
  </si>
  <si>
    <t>MM2555</t>
  </si>
  <si>
    <t>MM1590</t>
  </si>
  <si>
    <t>MM1591</t>
  </si>
  <si>
    <t>MM1875</t>
  </si>
  <si>
    <t>MM1920</t>
  </si>
  <si>
    <t>MM1945</t>
  </si>
  <si>
    <t>MM1615</t>
  </si>
  <si>
    <t>MM1617</t>
  </si>
  <si>
    <t>MM1620</t>
  </si>
  <si>
    <t>MM1650</t>
  </si>
  <si>
    <t>MM2114</t>
  </si>
  <si>
    <t>MM1970</t>
  </si>
  <si>
    <t>MM1946</t>
  </si>
  <si>
    <t>MM1549</t>
  </si>
  <si>
    <t>MM1541</t>
  </si>
  <si>
    <t>MM1720</t>
  </si>
  <si>
    <t>MM1740</t>
  </si>
  <si>
    <t>Package Type</t>
  </si>
  <si>
    <t>Units/ Package</t>
  </si>
  <si>
    <t>Brand Name</t>
  </si>
  <si>
    <t>Price To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</si>
</sst>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"/>
    <numFmt numFmtId="167" formatCode="&quot;$&quot;#,##0.00"/>
    <numFmt numFmtId="168" formatCode="0.000"/>
    <numFmt numFmtId="169" formatCode="0.0"/>
    <numFmt numFmtId="170" formatCode="&quot;$&quot;#,##0.0000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rgb="FFFAFBF7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5" applyNumberFormat="0" applyAlignment="0" applyProtection="0"/>
    <xf numFmtId="0" fontId="15" fillId="9" borderId="6" applyNumberFormat="0" applyAlignment="0" applyProtection="0"/>
    <xf numFmtId="0" fontId="16" fillId="9" borderId="5" applyNumberFormat="0" applyAlignment="0" applyProtection="0"/>
    <xf numFmtId="0" fontId="17" fillId="0" borderId="7" applyNumberFormat="0" applyFill="0" applyAlignment="0" applyProtection="0"/>
    <xf numFmtId="0" fontId="18" fillId="10" borderId="8" applyNumberFormat="0" applyAlignment="0" applyProtection="0"/>
    <xf numFmtId="0" fontId="1" fillId="0" borderId="0" applyNumberFormat="0" applyFill="0" applyBorder="0" applyAlignment="0" applyProtection="0"/>
    <xf numFmtId="0" fontId="3" fillId="11" borderId="9" applyNumberFormat="0" applyFont="0" applyAlignment="0" applyProtection="0"/>
    <xf numFmtId="0" fontId="19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0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10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22" fillId="0" borderId="0" xfId="0" applyFont="1"/>
    <xf numFmtId="0" fontId="23" fillId="0" borderId="0" xfId="0" applyFont="1" applyFill="1" applyAlignment="1"/>
    <xf numFmtId="0" fontId="22" fillId="36" borderId="0" xfId="0" applyFont="1" applyFill="1"/>
    <xf numFmtId="0" fontId="6" fillId="0" borderId="0" xfId="0" applyFont="1" applyAlignment="1">
      <alignment wrapText="1"/>
    </xf>
    <xf numFmtId="0" fontId="4" fillId="0" borderId="0" xfId="0" applyFont="1"/>
    <xf numFmtId="0" fontId="0" fillId="0" borderId="0" xfId="0"/>
    <xf numFmtId="2" fontId="25" fillId="0" borderId="0" xfId="0" applyNumberFormat="1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26" fillId="4" borderId="0" xfId="0" applyFont="1" applyFill="1" applyBorder="1" applyAlignment="1" applyProtection="1">
      <alignment horizontal="left" wrapText="1"/>
      <protection hidden="1"/>
    </xf>
    <xf numFmtId="2" fontId="26" fillId="4" borderId="0" xfId="0" applyNumberFormat="1" applyFont="1" applyFill="1" applyBorder="1" applyAlignment="1" applyProtection="1">
      <alignment horizontal="center" wrapText="1"/>
      <protection hidden="1"/>
    </xf>
    <xf numFmtId="0" fontId="26" fillId="4" borderId="0" xfId="0" applyFont="1" applyFill="1" applyBorder="1" applyAlignment="1" applyProtection="1">
      <alignment horizontal="center" wrapText="1"/>
      <protection hidden="1"/>
    </xf>
    <xf numFmtId="0" fontId="26" fillId="37" borderId="11" xfId="0" applyFont="1" applyFill="1" applyBorder="1" applyAlignment="1" applyProtection="1">
      <alignment horizontal="center" wrapText="1"/>
      <protection hidden="1"/>
    </xf>
    <xf numFmtId="0" fontId="26" fillId="38" borderId="0" xfId="0" applyFont="1" applyFill="1" applyBorder="1" applyAlignment="1" applyProtection="1">
      <alignment horizontal="center" wrapText="1"/>
      <protection hidden="1"/>
    </xf>
    <xf numFmtId="0" fontId="26" fillId="39" borderId="1" xfId="0" applyFont="1" applyFill="1" applyBorder="1" applyAlignment="1" applyProtection="1">
      <alignment horizontal="center" wrapText="1"/>
      <protection hidden="1"/>
    </xf>
    <xf numFmtId="0" fontId="26" fillId="4" borderId="11" xfId="0" applyFont="1" applyFill="1" applyBorder="1" applyAlignment="1" applyProtection="1">
      <alignment horizontal="center" wrapText="1"/>
      <protection hidden="1"/>
    </xf>
    <xf numFmtId="168" fontId="26" fillId="4" borderId="0" xfId="0" applyNumberFormat="1" applyFont="1" applyFill="1" applyBorder="1" applyAlignment="1" applyProtection="1">
      <alignment horizontal="center" wrapText="1"/>
      <protection hidden="1"/>
    </xf>
    <xf numFmtId="10" fontId="26" fillId="4" borderId="0" xfId="0" applyNumberFormat="1" applyFont="1" applyFill="1" applyBorder="1" applyAlignment="1" applyProtection="1">
      <alignment horizontal="center" wrapText="1"/>
      <protection hidden="1"/>
    </xf>
    <xf numFmtId="0" fontId="26" fillId="4" borderId="0" xfId="0" applyFont="1" applyFill="1" applyBorder="1" applyAlignment="1" applyProtection="1">
      <alignment horizontal="center"/>
      <protection hidden="1"/>
    </xf>
    <xf numFmtId="2" fontId="26" fillId="4" borderId="1" xfId="0" applyNumberFormat="1" applyFont="1" applyFill="1" applyBorder="1" applyAlignment="1" applyProtection="1">
      <alignment horizontal="center" wrapText="1"/>
      <protection hidden="1"/>
    </xf>
    <xf numFmtId="0" fontId="26" fillId="36" borderId="0" xfId="0" applyFont="1" applyFill="1" applyBorder="1" applyAlignment="1" applyProtection="1">
      <alignment horizontal="center" wrapText="1"/>
      <protection hidden="1"/>
    </xf>
    <xf numFmtId="0" fontId="26" fillId="3" borderId="0" xfId="0" applyFont="1" applyFill="1" applyBorder="1" applyAlignment="1" applyProtection="1">
      <alignment horizontal="center" wrapText="1"/>
      <protection hidden="1"/>
    </xf>
    <xf numFmtId="0" fontId="26" fillId="2" borderId="0" xfId="0" applyFont="1" applyFill="1" applyBorder="1" applyAlignment="1" applyProtection="1">
      <alignment horizontal="center" wrapText="1"/>
      <protection hidden="1"/>
    </xf>
    <xf numFmtId="0" fontId="26" fillId="2" borderId="1" xfId="0" applyFont="1" applyFill="1" applyBorder="1" applyAlignment="1" applyProtection="1">
      <alignment horizontal="center" wrapText="1"/>
      <protection hidden="1"/>
    </xf>
    <xf numFmtId="0" fontId="26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24" fillId="4" borderId="11" xfId="0" applyFont="1" applyFill="1" applyBorder="1" applyAlignment="1" applyProtection="1">
      <alignment horizontal="center"/>
      <protection hidden="1"/>
    </xf>
    <xf numFmtId="0" fontId="24" fillId="4" borderId="0" xfId="0" applyNumberFormat="1" applyFont="1" applyFill="1" applyBorder="1" applyAlignment="1" applyProtection="1">
      <alignment horizontal="center"/>
      <protection hidden="1"/>
    </xf>
    <xf numFmtId="169" fontId="24" fillId="4" borderId="0" xfId="0" applyNumberFormat="1" applyFont="1" applyFill="1" applyBorder="1" applyAlignment="1" applyProtection="1">
      <alignment horizontal="center"/>
      <protection hidden="1"/>
    </xf>
    <xf numFmtId="166" fontId="24" fillId="4" borderId="0" xfId="0" applyNumberFormat="1" applyFont="1" applyFill="1" applyBorder="1" applyAlignment="1" applyProtection="1">
      <alignment horizontal="center"/>
      <protection hidden="1"/>
    </xf>
    <xf numFmtId="2" fontId="24" fillId="36" borderId="0" xfId="0" applyNumberFormat="1" applyFont="1" applyFill="1" applyBorder="1" applyAlignment="1" applyProtection="1">
      <alignment horizontal="center"/>
      <protection hidden="1"/>
    </xf>
    <xf numFmtId="2" fontId="24" fillId="3" borderId="0" xfId="0" applyNumberFormat="1" applyFont="1" applyFill="1" applyBorder="1" applyAlignment="1" applyProtection="1">
      <alignment horizontal="center"/>
      <protection hidden="1"/>
    </xf>
    <xf numFmtId="167" fontId="24" fillId="3" borderId="0" xfId="0" applyNumberFormat="1" applyFont="1" applyFill="1" applyBorder="1" applyAlignment="1" applyProtection="1">
      <alignment horizontal="center"/>
      <protection hidden="1"/>
    </xf>
    <xf numFmtId="166" fontId="24" fillId="2" borderId="0" xfId="0" applyNumberFormat="1" applyFont="1" applyFill="1" applyBorder="1" applyAlignment="1" applyProtection="1">
      <alignment horizontal="center"/>
      <protection hidden="1"/>
    </xf>
    <xf numFmtId="167" fontId="24" fillId="2" borderId="1" xfId="0" applyNumberFormat="1" applyFont="1" applyFill="1" applyBorder="1" applyAlignment="1" applyProtection="1">
      <alignment horizontal="center"/>
      <protection hidden="1"/>
    </xf>
    <xf numFmtId="166" fontId="24" fillId="3" borderId="0" xfId="0" applyNumberFormat="1" applyFont="1" applyFill="1" applyBorder="1" applyAlignment="1" applyProtection="1">
      <alignment horizontal="center"/>
      <protection hidden="1"/>
    </xf>
    <xf numFmtId="170" fontId="24" fillId="3" borderId="0" xfId="0" applyNumberFormat="1" applyFont="1" applyFill="1" applyBorder="1" applyAlignment="1" applyProtection="1">
      <alignment horizontal="center"/>
      <protection hidden="1"/>
    </xf>
    <xf numFmtId="2" fontId="24" fillId="0" borderId="0" xfId="0" applyNumberFormat="1" applyFont="1" applyFill="1" applyBorder="1" applyProtection="1">
      <protection hidden="1"/>
    </xf>
    <xf numFmtId="2" fontId="24" fillId="0" borderId="11" xfId="0" applyNumberFormat="1" applyFont="1" applyFill="1" applyBorder="1" applyAlignment="1" applyProtection="1">
      <alignment horizontal="center"/>
      <protection locked="0" hidden="1"/>
    </xf>
    <xf numFmtId="0" fontId="24" fillId="0" borderId="0" xfId="0" applyFont="1" applyFill="1" applyBorder="1" applyAlignment="1" applyProtection="1">
      <alignment horizontal="left"/>
      <protection hidden="1"/>
    </xf>
    <xf numFmtId="2" fontId="24" fillId="0" borderId="0" xfId="0" applyNumberFormat="1" applyFont="1" applyFill="1" applyBorder="1" applyProtection="1">
      <protection locked="0" hidden="1"/>
    </xf>
    <xf numFmtId="0" fontId="24" fillId="0" borderId="0" xfId="0" applyFont="1" applyFill="1" applyBorder="1" applyProtection="1">
      <protection locked="0" hidden="1"/>
    </xf>
    <xf numFmtId="168" fontId="24" fillId="0" borderId="0" xfId="0" applyNumberFormat="1" applyFont="1" applyFill="1" applyBorder="1" applyProtection="1">
      <protection hidden="1"/>
    </xf>
    <xf numFmtId="10" fontId="24" fillId="0" borderId="0" xfId="0" applyNumberFormat="1" applyFont="1" applyFill="1" applyBorder="1" applyProtection="1">
      <protection hidden="1"/>
    </xf>
    <xf numFmtId="0" fontId="28" fillId="40" borderId="0" xfId="0" applyFont="1" applyFill="1" applyAlignment="1" applyProtection="1">
      <alignment vertical="center"/>
      <protection hidden="1"/>
    </xf>
    <xf numFmtId="0" fontId="28" fillId="40" borderId="0" xfId="0" applyFont="1" applyFill="1" applyAlignment="1" applyProtection="1">
      <alignment horizontal="center" vertical="center"/>
      <protection hidden="1"/>
    </xf>
    <xf numFmtId="2" fontId="32" fillId="40" borderId="0" xfId="0" applyNumberFormat="1" applyFont="1" applyFill="1" applyAlignment="1" applyProtection="1">
      <alignment horizontal="left" vertical="center"/>
      <protection hidden="1"/>
    </xf>
    <xf numFmtId="166" fontId="32" fillId="40" borderId="0" xfId="0" applyNumberFormat="1" applyFont="1" applyFill="1" applyAlignment="1" applyProtection="1">
      <alignment horizontal="left" vertical="center"/>
      <protection hidden="1"/>
    </xf>
    <xf numFmtId="0" fontId="28" fillId="40" borderId="0" xfId="0" applyFont="1" applyFill="1" applyAlignment="1" applyProtection="1">
      <alignment horizontal="right" vertical="center"/>
      <protection hidden="1"/>
    </xf>
    <xf numFmtId="166" fontId="28" fillId="40" borderId="0" xfId="0" applyNumberFormat="1" applyFont="1" applyFill="1" applyAlignment="1" applyProtection="1">
      <alignment vertical="center"/>
      <protection hidden="1"/>
    </xf>
    <xf numFmtId="0" fontId="24" fillId="0" borderId="0" xfId="0" applyFont="1" applyProtection="1">
      <protection hidden="1"/>
    </xf>
    <xf numFmtId="0" fontId="29" fillId="41" borderId="0" xfId="0" applyFont="1" applyFill="1" applyAlignment="1" applyProtection="1">
      <alignment vertical="center"/>
      <protection hidden="1"/>
    </xf>
    <xf numFmtId="0" fontId="29" fillId="41" borderId="0" xfId="0" applyFont="1" applyFill="1" applyAlignment="1" applyProtection="1">
      <alignment horizontal="center" vertical="center"/>
      <protection hidden="1"/>
    </xf>
    <xf numFmtId="2" fontId="29" fillId="41" borderId="0" xfId="0" applyNumberFormat="1" applyFont="1" applyFill="1" applyAlignment="1" applyProtection="1">
      <alignment horizontal="left" vertical="center"/>
      <protection hidden="1"/>
    </xf>
    <xf numFmtId="166" fontId="29" fillId="41" borderId="0" xfId="0" applyNumberFormat="1" applyFont="1" applyFill="1" applyAlignment="1" applyProtection="1">
      <alignment horizontal="left" vertical="center"/>
      <protection hidden="1"/>
    </xf>
    <xf numFmtId="0" fontId="29" fillId="41" borderId="0" xfId="0" applyFont="1" applyFill="1" applyAlignment="1" applyProtection="1">
      <alignment horizontal="right" vertical="center"/>
      <protection hidden="1"/>
    </xf>
    <xf numFmtId="166" fontId="29" fillId="41" borderId="0" xfId="0" applyNumberFormat="1" applyFont="1" applyFill="1" applyAlignment="1" applyProtection="1">
      <alignment vertical="center"/>
      <protection hidden="1"/>
    </xf>
    <xf numFmtId="2" fontId="25" fillId="0" borderId="0" xfId="0" applyNumberFormat="1" applyFont="1" applyFill="1" applyBorder="1" applyAlignment="1" applyProtection="1">
      <alignment horizontal="left"/>
      <protection hidden="1"/>
    </xf>
    <xf numFmtId="0" fontId="5" fillId="2" borderId="0" xfId="0" applyFont="1" applyFill="1" applyAlignment="1">
      <alignment horizontal="left"/>
    </xf>
    <xf numFmtId="0" fontId="28" fillId="40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/>
    <xf numFmtId="1" fontId="24" fillId="4" borderId="0" xfId="0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Alignment="1">
      <alignment horizontal="right"/>
    </xf>
    <xf numFmtId="0" fontId="4" fillId="4" borderId="0" xfId="0" applyFont="1" applyFill="1"/>
    <xf numFmtId="0" fontId="5" fillId="0" borderId="0" xfId="0" applyFont="1" applyFill="1" applyAlignment="1">
      <alignment horizontal="left"/>
    </xf>
    <xf numFmtId="0" fontId="29" fillId="41" borderId="0" xfId="0" applyFont="1" applyFill="1" applyAlignment="1" applyProtection="1">
      <alignment horizontal="left" vertical="center"/>
      <protection hidden="1"/>
    </xf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36" borderId="0" xfId="0" applyFont="1" applyFill="1"/>
    <xf numFmtId="0" fontId="5" fillId="0" borderId="0" xfId="0" applyFont="1" applyAlignment="1">
      <alignment horizontal="left"/>
    </xf>
    <xf numFmtId="2" fontId="27" fillId="4" borderId="0" xfId="0" applyNumberFormat="1" applyFont="1" applyFill="1" applyBorder="1" applyAlignment="1" applyProtection="1">
      <alignment horizontal="center" wrapText="1"/>
      <protection hidden="1"/>
    </xf>
    <xf numFmtId="0" fontId="24" fillId="0" borderId="11" xfId="0" applyNumberFormat="1" applyFont="1" applyFill="1" applyBorder="1" applyAlignment="1" applyProtection="1">
      <alignment horizontal="center"/>
      <protection locked="0" hidden="1"/>
    </xf>
    <xf numFmtId="0" fontId="24" fillId="0" borderId="0" xfId="0" applyNumberFormat="1" applyFont="1" applyFill="1" applyBorder="1" applyAlignment="1" applyProtection="1">
      <alignment horizontal="left"/>
      <protection locked="0" hidden="1"/>
    </xf>
    <xf numFmtId="2" fontId="24" fillId="37" borderId="11" xfId="0" applyNumberFormat="1" applyFont="1" applyFill="1" applyBorder="1" applyAlignment="1" applyProtection="1">
      <alignment horizontal="center"/>
      <protection hidden="1"/>
    </xf>
    <xf numFmtId="2" fontId="24" fillId="38" borderId="0" xfId="0" applyNumberFormat="1" applyFont="1" applyFill="1" applyBorder="1" applyAlignment="1" applyProtection="1">
      <alignment horizontal="center"/>
      <protection hidden="1"/>
    </xf>
    <xf numFmtId="2" fontId="24" fillId="39" borderId="1" xfId="0" applyNumberFormat="1" applyFont="1" applyFill="1" applyBorder="1" applyAlignment="1" applyProtection="1">
      <alignment horizontal="center"/>
      <protection hidden="1"/>
    </xf>
    <xf numFmtId="2" fontId="24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4" borderId="0" xfId="0" applyFont="1" applyFill="1" applyBorder="1" applyAlignment="1" applyProtection="1">
      <alignment horizontal="center"/>
      <protection hidden="1"/>
    </xf>
    <xf numFmtId="2" fontId="24" fillId="4" borderId="0" xfId="0" applyNumberFormat="1" applyFont="1" applyFill="1" applyBorder="1" applyAlignment="1" applyProtection="1">
      <alignment horizontal="center"/>
      <protection hidden="1"/>
    </xf>
    <xf numFmtId="2" fontId="24" fillId="4" borderId="1" xfId="0" applyNumberFormat="1" applyFont="1" applyFill="1" applyBorder="1" applyAlignment="1" applyProtection="1">
      <alignment horizontal="center"/>
      <protection hidden="1"/>
    </xf>
    <xf numFmtId="0" fontId="24" fillId="3" borderId="0" xfId="0" applyFont="1" applyFill="1" applyBorder="1" applyAlignment="1" applyProtection="1">
      <alignment horizontal="center"/>
      <protection hidden="1"/>
    </xf>
    <xf numFmtId="167" fontId="24" fillId="2" borderId="0" xfId="0" applyNumberFormat="1" applyFont="1" applyFill="1" applyBorder="1" applyAlignment="1" applyProtection="1">
      <alignment horizontal="center"/>
      <protection hidden="1"/>
    </xf>
    <xf numFmtId="170" fontId="24" fillId="2" borderId="0" xfId="0" applyNumberFormat="1" applyFont="1" applyFill="1" applyBorder="1" applyAlignment="1" applyProtection="1">
      <alignment horizontal="center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31" fillId="40" borderId="0" xfId="0" applyFont="1" applyFill="1" applyAlignment="1" applyProtection="1">
      <alignment horizontal="left" vertical="center"/>
      <protection hidden="1"/>
    </xf>
    <xf numFmtId="0" fontId="24" fillId="0" borderId="0" xfId="0" applyFont="1" applyFill="1" applyBorder="1" applyAlignment="1" applyProtection="1">
      <alignment horizontal="left"/>
      <protection locked="0" hidden="1"/>
    </xf>
    <xf numFmtId="0" fontId="24" fillId="0" borderId="0" xfId="0" applyNumberFormat="1" applyFont="1" applyBorder="1" applyAlignment="1" applyProtection="1">
      <alignment horizontal="left"/>
      <protection locked="0" hidden="1"/>
    </xf>
    <xf numFmtId="0" fontId="24" fillId="0" borderId="0" xfId="0" applyFont="1" applyFill="1" applyBorder="1" applyAlignment="1" applyProtection="1">
      <alignment horizontal="center"/>
      <protection locked="0" hidden="1"/>
    </xf>
    <xf numFmtId="0" fontId="24" fillId="42" borderId="0" xfId="0" applyFont="1" applyFill="1" applyProtection="1">
      <protection hidden="1"/>
    </xf>
    <xf numFmtId="0" fontId="26" fillId="42" borderId="0" xfId="0" applyFont="1" applyFill="1" applyProtection="1">
      <protection hidden="1"/>
    </xf>
    <xf numFmtId="0" fontId="26" fillId="0" borderId="0" xfId="0" applyFont="1" applyProtection="1">
      <protection hidden="1"/>
    </xf>
    <xf numFmtId="0" fontId="24" fillId="43" borderId="0" xfId="0" applyFont="1" applyFill="1" applyProtection="1">
      <protection hidden="1"/>
    </xf>
    <xf numFmtId="0" fontId="26" fillId="0" borderId="13" xfId="0" applyFont="1" applyFill="1" applyBorder="1" applyAlignment="1" applyProtection="1">
      <alignment horizontal="center"/>
      <protection hidden="1"/>
    </xf>
    <xf numFmtId="0" fontId="26" fillId="0" borderId="12" xfId="0" applyFont="1" applyFill="1" applyBorder="1" applyAlignment="1" applyProtection="1">
      <alignment horizontal="center"/>
      <protection hidden="1"/>
    </xf>
    <xf numFmtId="0" fontId="26" fillId="0" borderId="14" xfId="0" applyFont="1" applyFill="1" applyBorder="1" applyAlignment="1" applyProtection="1">
      <alignment horizontal="center"/>
      <protection hidden="1"/>
    </xf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4" xr:uid="{00000000-0005-0000-0000-00001C000000}"/>
    <cellStyle name="Comma 3" xfId="45" xr:uid="{00000000-0005-0000-0000-00001D000000}"/>
    <cellStyle name="Currency 2" xfId="46" xr:uid="{00000000-0005-0000-0000-00001E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9000000}"/>
    <cellStyle name="Normal 3" xfId="43" xr:uid="{00000000-0005-0000-0000-00002A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DD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CC"/>
      <color rgb="FFFFFFF3"/>
      <color rgb="FFFFFFDD"/>
      <color rgb="FFFAFBF7"/>
      <color rgb="FFF0F8FA"/>
      <color rgb="FFEDF7F9"/>
      <color rgb="FFF6F5EE"/>
      <color rgb="FFFFCCCC"/>
      <color rgb="FFCCFFCC"/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</xdr:colOff>
      <xdr:row>0</xdr:row>
      <xdr:rowOff>266701</xdr:rowOff>
    </xdr:from>
    <xdr:to>
      <xdr:col>58</xdr:col>
      <xdr:colOff>0</xdr:colOff>
      <xdr:row>4</xdr:row>
      <xdr:rowOff>476250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764502-210A-4D22-91E4-043D906050F2}"/>
            </a:ext>
          </a:extLst>
        </xdr:cNvPr>
        <xdr:cNvSpPr txBox="1"/>
      </xdr:nvSpPr>
      <xdr:spPr>
        <a:xfrm>
          <a:off x="11725276" y="266701"/>
          <a:ext cx="2819399" cy="9334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/>
            <a:t>Private</a:t>
          </a:r>
          <a:r>
            <a:rPr lang="en-US" sz="900" b="1" baseline="0"/>
            <a:t> Distribution Trial Pricing Calculator </a:t>
          </a:r>
          <a:r>
            <a:rPr lang="en-US" sz="900" baseline="0"/>
            <a:t>does not guarantee the final retail price, once processed, the retail price may change.</a:t>
          </a:r>
        </a:p>
        <a:p>
          <a:endParaRPr lang="en-US" sz="500" b="1" baseline="0"/>
        </a:p>
        <a:p>
          <a:r>
            <a:rPr lang="en-US" sz="900" b="1" baseline="0"/>
            <a:t>Product size:</a:t>
          </a:r>
          <a:r>
            <a:rPr lang="en-US" sz="900" baseline="0"/>
            <a:t> The trial pricing calculator is designed to price the most commonly used product sizes.</a:t>
          </a:r>
          <a:endParaRPr lang="en-US" sz="900"/>
        </a:p>
      </xdr:txBody>
    </xdr:sp>
    <xdr:clientData/>
  </xdr:twoCellAnchor>
  <xdr:twoCellAnchor>
    <xdr:from>
      <xdr:col>54</xdr:col>
      <xdr:colOff>1</xdr:colOff>
      <xdr:row>0</xdr:row>
      <xdr:rowOff>0</xdr:rowOff>
    </xdr:from>
    <xdr:to>
      <xdr:col>58</xdr:col>
      <xdr:colOff>1</xdr:colOff>
      <xdr:row>0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72E65A9-54B3-40F9-AD8E-12845C504B7C}"/>
            </a:ext>
          </a:extLst>
        </xdr:cNvPr>
        <xdr:cNvSpPr txBox="1"/>
      </xdr:nvSpPr>
      <xdr:spPr>
        <a:xfrm>
          <a:off x="11725276" y="0"/>
          <a:ext cx="2819399" cy="266700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>
                  <a:lumMod val="95000"/>
                </a:schemeClr>
              </a:solidFill>
            </a:rPr>
            <a:t>Disclaimer</a:t>
          </a:r>
        </a:p>
      </xdr:txBody>
    </xdr:sp>
    <xdr:clientData/>
  </xdr:twoCellAnchor>
  <xdr:twoCellAnchor>
    <xdr:from>
      <xdr:col>54</xdr:col>
      <xdr:colOff>9525</xdr:colOff>
      <xdr:row>5</xdr:row>
      <xdr:rowOff>19050</xdr:rowOff>
    </xdr:from>
    <xdr:to>
      <xdr:col>58</xdr:col>
      <xdr:colOff>0</xdr:colOff>
      <xdr:row>6</xdr:row>
      <xdr:rowOff>85725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892F5A3-2535-4223-B572-7BD7EBF7D88A}"/>
            </a:ext>
          </a:extLst>
        </xdr:cNvPr>
        <xdr:cNvSpPr txBox="1"/>
      </xdr:nvSpPr>
      <xdr:spPr>
        <a:xfrm>
          <a:off x="11734800" y="1228725"/>
          <a:ext cx="2809875" cy="257175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>
                  <a:lumMod val="95000"/>
                </a:schemeClr>
              </a:solidFill>
            </a:rPr>
            <a:t>How</a:t>
          </a: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 to Achieve Desired Retail</a:t>
          </a:r>
          <a:endParaRPr lang="en-US" sz="10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54</xdr:col>
      <xdr:colOff>9525</xdr:colOff>
      <xdr:row>6</xdr:row>
      <xdr:rowOff>95250</xdr:rowOff>
    </xdr:from>
    <xdr:to>
      <xdr:col>58</xdr:col>
      <xdr:colOff>0</xdr:colOff>
      <xdr:row>14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B7C9610-0F53-4632-AB9C-86108612604D}"/>
            </a:ext>
          </a:extLst>
        </xdr:cNvPr>
        <xdr:cNvSpPr txBox="1"/>
      </xdr:nvSpPr>
      <xdr:spPr>
        <a:xfrm>
          <a:off x="11734800" y="1495425"/>
          <a:ext cx="2809875" cy="14478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/>
            <a:t>Step</a:t>
          </a:r>
          <a:r>
            <a:rPr lang="en-US" sz="900" b="1" baseline="0"/>
            <a:t> 1:</a:t>
          </a:r>
          <a:r>
            <a:rPr lang="en-US" sz="900" baseline="0"/>
            <a:t>  Fill in the product information fields (Column A through G)</a:t>
          </a:r>
        </a:p>
        <a:p>
          <a:endParaRPr lang="en-US" sz="4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Input the desired dollar value</a:t>
          </a:r>
          <a:endParaRPr lang="en-US" sz="900">
            <a:effectLst/>
          </a:endParaRPr>
        </a:p>
        <a:p>
          <a:endParaRPr lang="en-US" sz="400" b="1" baseline="0"/>
        </a:p>
        <a:p>
          <a:r>
            <a:rPr lang="en-US" sz="900" b="1" baseline="0"/>
            <a:t>Step 3:</a:t>
          </a:r>
          <a:r>
            <a:rPr lang="en-US" sz="900" baseline="0"/>
            <a:t> Select Pricing Type (Gross Price to Brewer, Licensee Retail or Retail Price)</a:t>
          </a:r>
        </a:p>
        <a:p>
          <a:endParaRPr lang="en-US" sz="400" b="1" baseline="0"/>
        </a:p>
        <a:p>
          <a:r>
            <a:rPr lang="en-US" sz="900" b="1" baseline="0"/>
            <a:t>Step 4:</a:t>
          </a:r>
          <a:r>
            <a:rPr lang="en-US" sz="900" baseline="0"/>
            <a:t> The spreadsheet automatically does the calculation to achieve desired pricing type and value</a:t>
          </a:r>
          <a:endParaRPr lang="en-US" sz="900"/>
        </a:p>
      </xdr:txBody>
    </xdr:sp>
    <xdr:clientData/>
  </xdr:twoCellAnchor>
  <xdr:twoCellAnchor>
    <xdr:from>
      <xdr:col>54</xdr:col>
      <xdr:colOff>9524</xdr:colOff>
      <xdr:row>14</xdr:row>
      <xdr:rowOff>28575</xdr:rowOff>
    </xdr:from>
    <xdr:to>
      <xdr:col>58</xdr:col>
      <xdr:colOff>0</xdr:colOff>
      <xdr:row>15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7A232C2-0D11-45F3-BFDB-2250ADA6C621}"/>
            </a:ext>
          </a:extLst>
        </xdr:cNvPr>
        <xdr:cNvSpPr txBox="1"/>
      </xdr:nvSpPr>
      <xdr:spPr>
        <a:xfrm>
          <a:off x="11734799" y="2952750"/>
          <a:ext cx="2809876" cy="25717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/>
              </a:solidFill>
            </a:rPr>
            <a:t>Notes</a:t>
          </a:r>
        </a:p>
      </xdr:txBody>
    </xdr:sp>
    <xdr:clientData/>
  </xdr:twoCellAnchor>
  <xdr:twoCellAnchor>
    <xdr:from>
      <xdr:col>54</xdr:col>
      <xdr:colOff>19050</xdr:colOff>
      <xdr:row>15</xdr:row>
      <xdr:rowOff>104775</xdr:rowOff>
    </xdr:from>
    <xdr:to>
      <xdr:col>58</xdr:col>
      <xdr:colOff>0</xdr:colOff>
      <xdr:row>19</xdr:row>
      <xdr:rowOff>38100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6A5CBE9-D545-49DA-BBE5-73A3BAC03867}"/>
            </a:ext>
          </a:extLst>
        </xdr:cNvPr>
        <xdr:cNvSpPr txBox="1"/>
      </xdr:nvSpPr>
      <xdr:spPr>
        <a:xfrm>
          <a:off x="11744325" y="3219450"/>
          <a:ext cx="2800350" cy="6953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i="0"/>
            <a:t>Price to Public</a:t>
          </a:r>
          <a:r>
            <a:rPr lang="en-US" sz="900" b="1" i="0" baseline="0"/>
            <a:t> does </a:t>
          </a:r>
          <a:r>
            <a:rPr lang="en-US" sz="900" b="1" i="0" u="sng" baseline="0"/>
            <a:t>NOT</a:t>
          </a:r>
          <a:r>
            <a:rPr lang="en-US" sz="900" b="1" i="0" baseline="0"/>
            <a:t> include taxes and deposit</a:t>
          </a:r>
        </a:p>
        <a:p>
          <a:endParaRPr lang="en-US" sz="300" b="1" i="0" baseline="0"/>
        </a:p>
        <a:p>
          <a:r>
            <a:rPr lang="en-US" sz="900" b="1" i="0" baseline="0"/>
            <a:t>Price to Lic/Vendor does </a:t>
          </a:r>
          <a:r>
            <a:rPr lang="en-US" sz="900" b="1" i="0" u="sng" baseline="0"/>
            <a:t>NOT</a:t>
          </a:r>
          <a:r>
            <a:rPr lang="en-US" sz="900" b="1" i="0" baseline="0"/>
            <a:t> include taxes and deposit</a:t>
          </a:r>
        </a:p>
        <a:p>
          <a:endParaRPr lang="en-US" sz="1000" b="1" i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38"/>
  <sheetViews>
    <sheetView tabSelected="1" zoomScaleNormal="100" workbookViewId="0">
      <selection activeCell="A6" sqref="A6"/>
    </sheetView>
  </sheetViews>
  <sheetFormatPr defaultColWidth="0" defaultRowHeight="12.75" zeroHeight="1" x14ac:dyDescent="0.2"/>
  <cols>
    <col min="1" max="1" width="40.28515625" style="90" customWidth="1"/>
    <col min="2" max="2" width="14.85546875" style="43" customWidth="1"/>
    <col min="3" max="3" width="8.140625" style="29" customWidth="1"/>
    <col min="4" max="4" width="8.7109375" style="29" customWidth="1"/>
    <col min="5" max="5" width="8.85546875" style="29" customWidth="1"/>
    <col min="6" max="7" width="8.140625" style="29" customWidth="1"/>
    <col min="8" max="8" width="9.140625" style="44" customWidth="1"/>
    <col min="9" max="9" width="19.85546875" style="45" customWidth="1"/>
    <col min="10" max="12" width="9.140625" style="41" customWidth="1"/>
    <col min="13" max="13" width="9.85546875" style="10" customWidth="1"/>
    <col min="14" max="14" width="6.28515625" style="10" customWidth="1"/>
    <col min="15" max="15" width="3.28515625" style="11" hidden="1" customWidth="1"/>
    <col min="16" max="16" width="7.5703125" style="29" hidden="1" customWidth="1"/>
    <col min="17" max="17" width="8" style="61" hidden="1" customWidth="1"/>
    <col min="18" max="18" width="8.42578125" style="29" hidden="1" customWidth="1"/>
    <col min="19" max="19" width="12.85546875" style="11" hidden="1" customWidth="1"/>
    <col min="20" max="20" width="10.28515625" style="46" hidden="1" customWidth="1"/>
    <col min="21" max="21" width="9.140625" style="11" hidden="1" customWidth="1"/>
    <col min="22" max="22" width="10.140625" style="11" hidden="1" customWidth="1"/>
    <col min="23" max="23" width="9.140625" style="47" hidden="1" customWidth="1"/>
    <col min="24" max="25" width="9.140625" style="11" hidden="1" customWidth="1"/>
    <col min="26" max="26" width="9.140625" style="29" hidden="1" customWidth="1"/>
    <col min="27" max="27" width="10.5703125" style="41" hidden="1" customWidth="1"/>
    <col min="28" max="29" width="9.7109375" style="41" hidden="1" customWidth="1"/>
    <col min="30" max="30" width="9.140625" style="11" hidden="1" customWidth="1"/>
    <col min="31" max="31" width="9.140625" style="29" hidden="1" customWidth="1"/>
    <col min="32" max="33" width="9.140625" style="11" hidden="1" customWidth="1"/>
    <col min="34" max="34" width="7.85546875" style="11" hidden="1" customWidth="1"/>
    <col min="35" max="37" width="9.140625" style="11" hidden="1" customWidth="1"/>
    <col min="38" max="38" width="9.140625" style="29" hidden="1" customWidth="1"/>
    <col min="39" max="41" width="9.140625" style="11" hidden="1" customWidth="1"/>
    <col min="42" max="42" width="9.85546875" style="11" hidden="1" customWidth="1"/>
    <col min="43" max="45" width="9.140625" style="11" hidden="1" customWidth="1"/>
    <col min="46" max="46" width="9.140625" style="29" hidden="1" customWidth="1"/>
    <col min="47" max="49" width="9.140625" style="11" hidden="1" customWidth="1"/>
    <col min="50" max="50" width="9.42578125" style="11" hidden="1" customWidth="1"/>
    <col min="51" max="53" width="9.140625" style="11" hidden="1" customWidth="1"/>
    <col min="54" max="54" width="2.140625" style="54" customWidth="1"/>
    <col min="55" max="58" width="10.5703125" style="54" customWidth="1"/>
    <col min="59" max="16384" width="9.140625" style="11" hidden="1"/>
  </cols>
  <sheetData>
    <row r="1" spans="1:58" s="54" customFormat="1" ht="33.75" customHeight="1" x14ac:dyDescent="0.2">
      <c r="A1" s="89" t="s">
        <v>0</v>
      </c>
      <c r="B1" s="48"/>
      <c r="C1" s="49"/>
      <c r="D1" s="49"/>
      <c r="E1" s="49"/>
      <c r="F1" s="49"/>
      <c r="G1" s="49"/>
      <c r="H1" s="49"/>
      <c r="I1" s="48"/>
      <c r="J1" s="50"/>
      <c r="K1" s="51"/>
      <c r="L1" s="50"/>
      <c r="M1" s="49"/>
      <c r="N1" s="49"/>
      <c r="O1" s="49"/>
      <c r="P1" s="49"/>
      <c r="Q1" s="63"/>
      <c r="R1" s="48"/>
      <c r="S1" s="49"/>
      <c r="T1" s="49"/>
      <c r="U1" s="49"/>
      <c r="V1" s="49"/>
      <c r="W1" s="49"/>
      <c r="X1" s="49"/>
      <c r="Y1" s="48"/>
      <c r="Z1" s="48"/>
      <c r="AA1" s="48"/>
      <c r="AB1" s="52"/>
      <c r="AC1" s="49"/>
      <c r="AD1" s="49"/>
      <c r="AE1" s="49"/>
      <c r="AF1" s="49"/>
      <c r="AG1" s="49"/>
      <c r="AH1" s="49"/>
      <c r="AI1" s="53"/>
      <c r="AJ1" s="53"/>
      <c r="AK1" s="53"/>
      <c r="AL1" s="48"/>
      <c r="AM1" s="48"/>
      <c r="AN1" s="48"/>
      <c r="AO1" s="48"/>
      <c r="AP1" s="48"/>
      <c r="AQ1" s="48"/>
      <c r="AR1" s="53"/>
      <c r="AS1" s="53"/>
      <c r="AT1" s="53"/>
      <c r="AU1" s="48"/>
      <c r="AV1" s="48"/>
      <c r="AW1" s="48"/>
      <c r="AX1" s="48"/>
      <c r="AY1" s="48"/>
      <c r="AZ1" s="48"/>
      <c r="BB1" s="93"/>
    </row>
    <row r="2" spans="1:58" s="54" customFormat="1" ht="3.6" customHeight="1" x14ac:dyDescent="0.2">
      <c r="A2" s="69"/>
      <c r="B2" s="55"/>
      <c r="C2" s="56"/>
      <c r="D2" s="56"/>
      <c r="E2" s="56"/>
      <c r="F2" s="56"/>
      <c r="G2" s="56"/>
      <c r="H2" s="56"/>
      <c r="I2" s="55"/>
      <c r="J2" s="57"/>
      <c r="K2" s="58"/>
      <c r="L2" s="57"/>
      <c r="M2" s="56"/>
      <c r="N2" s="56"/>
      <c r="O2" s="56"/>
      <c r="P2" s="56"/>
      <c r="Q2" s="69"/>
      <c r="R2" s="55"/>
      <c r="S2" s="56"/>
      <c r="T2" s="56"/>
      <c r="U2" s="56"/>
      <c r="V2" s="56"/>
      <c r="W2" s="56"/>
      <c r="X2" s="56"/>
      <c r="Y2" s="55"/>
      <c r="Z2" s="55"/>
      <c r="AA2" s="55"/>
      <c r="AB2" s="59"/>
      <c r="AC2" s="56"/>
      <c r="AD2" s="56"/>
      <c r="AE2" s="56"/>
      <c r="AF2" s="56"/>
      <c r="AG2" s="56"/>
      <c r="AH2" s="56"/>
      <c r="AI2" s="60"/>
      <c r="AJ2" s="60"/>
      <c r="AK2" s="60"/>
      <c r="AL2" s="55"/>
      <c r="AM2" s="55"/>
      <c r="AN2" s="55"/>
      <c r="AO2" s="55"/>
      <c r="AP2" s="55"/>
      <c r="AQ2" s="55"/>
      <c r="AR2" s="60"/>
      <c r="AS2" s="60"/>
      <c r="AT2" s="60"/>
      <c r="AU2" s="55"/>
      <c r="AV2" s="55"/>
      <c r="AW2" s="55"/>
      <c r="AX2" s="55"/>
      <c r="AY2" s="55"/>
      <c r="AZ2" s="55"/>
      <c r="BB2" s="93"/>
    </row>
    <row r="3" spans="1:58" s="54" customFormat="1" ht="3.6" customHeight="1" x14ac:dyDescent="0.2">
      <c r="A3" s="69"/>
      <c r="B3" s="55"/>
      <c r="C3" s="56"/>
      <c r="D3" s="56"/>
      <c r="E3" s="56"/>
      <c r="F3" s="56"/>
      <c r="G3" s="56"/>
      <c r="H3" s="56"/>
      <c r="I3" s="55"/>
      <c r="J3" s="57"/>
      <c r="K3" s="58"/>
      <c r="L3" s="57"/>
      <c r="M3" s="56"/>
      <c r="N3" s="56"/>
      <c r="O3" s="56"/>
      <c r="P3" s="56"/>
      <c r="Q3" s="69"/>
      <c r="R3" s="55"/>
      <c r="S3" s="56"/>
      <c r="T3" s="56"/>
      <c r="U3" s="56"/>
      <c r="V3" s="56"/>
      <c r="W3" s="56"/>
      <c r="X3" s="56"/>
      <c r="Y3" s="55"/>
      <c r="Z3" s="55"/>
      <c r="AA3" s="55"/>
      <c r="AB3" s="59"/>
      <c r="AC3" s="56"/>
      <c r="AD3" s="56"/>
      <c r="AE3" s="56"/>
      <c r="AF3" s="56"/>
      <c r="AG3" s="56"/>
      <c r="AH3" s="56"/>
      <c r="AI3" s="60"/>
      <c r="AJ3" s="60"/>
      <c r="AK3" s="60"/>
      <c r="AL3" s="55"/>
      <c r="AM3" s="55"/>
      <c r="AN3" s="55"/>
      <c r="AO3" s="55"/>
      <c r="AP3" s="55"/>
      <c r="AQ3" s="55"/>
      <c r="AR3" s="60"/>
      <c r="AS3" s="60"/>
      <c r="AT3" s="60"/>
      <c r="AU3" s="55"/>
      <c r="AV3" s="55"/>
      <c r="AW3" s="55"/>
      <c r="AX3" s="55"/>
      <c r="AY3" s="55"/>
      <c r="AZ3" s="55"/>
      <c r="BB3" s="93"/>
    </row>
    <row r="4" spans="1:58" ht="17.25" x14ac:dyDescent="0.3">
      <c r="A4" s="12"/>
      <c r="B4" s="12"/>
      <c r="C4" s="88"/>
      <c r="D4" s="88"/>
      <c r="E4" s="88"/>
      <c r="F4" s="88"/>
      <c r="G4" s="88"/>
      <c r="H4" s="12"/>
      <c r="I4" s="12"/>
      <c r="J4" s="12"/>
      <c r="K4" s="12"/>
      <c r="L4" s="12"/>
      <c r="M4" s="12"/>
      <c r="N4" s="12"/>
      <c r="O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97" t="s">
        <v>1</v>
      </c>
      <c r="AE4" s="98"/>
      <c r="AF4" s="98"/>
      <c r="AG4" s="98"/>
      <c r="AH4" s="98"/>
      <c r="AI4" s="98"/>
      <c r="AJ4" s="99"/>
      <c r="AK4" s="97" t="s">
        <v>2</v>
      </c>
      <c r="AL4" s="98"/>
      <c r="AM4" s="98"/>
      <c r="AN4" s="98"/>
      <c r="AO4" s="98"/>
      <c r="AP4" s="98"/>
      <c r="AQ4" s="98"/>
      <c r="AR4" s="99"/>
      <c r="AS4" s="97" t="s">
        <v>3</v>
      </c>
      <c r="AT4" s="98"/>
      <c r="AU4" s="98"/>
      <c r="AV4" s="98"/>
      <c r="AW4" s="98"/>
      <c r="AX4" s="98"/>
      <c r="AY4" s="98"/>
      <c r="AZ4" s="99"/>
      <c r="BB4" s="93"/>
    </row>
    <row r="5" spans="1:58" s="28" customFormat="1" ht="38.25" x14ac:dyDescent="0.2">
      <c r="A5" s="13" t="s">
        <v>134</v>
      </c>
      <c r="B5" s="15" t="s">
        <v>4</v>
      </c>
      <c r="C5" s="15" t="s">
        <v>5</v>
      </c>
      <c r="D5" s="15" t="s">
        <v>15</v>
      </c>
      <c r="E5" s="15" t="s">
        <v>133</v>
      </c>
      <c r="F5" s="15" t="s">
        <v>132</v>
      </c>
      <c r="G5" s="15" t="s">
        <v>30</v>
      </c>
      <c r="H5" s="14" t="s">
        <v>6</v>
      </c>
      <c r="I5" s="15" t="s">
        <v>7</v>
      </c>
      <c r="J5" s="16" t="s">
        <v>8</v>
      </c>
      <c r="K5" s="17" t="s">
        <v>9</v>
      </c>
      <c r="L5" s="18" t="s">
        <v>135</v>
      </c>
      <c r="M5" s="75" t="s">
        <v>10</v>
      </c>
      <c r="N5" s="75" t="s">
        <v>11</v>
      </c>
      <c r="O5" s="15"/>
      <c r="P5" s="19" t="s">
        <v>12</v>
      </c>
      <c r="Q5" s="75" t="s">
        <v>4</v>
      </c>
      <c r="R5" s="15" t="s">
        <v>13</v>
      </c>
      <c r="S5" s="15" t="s">
        <v>14</v>
      </c>
      <c r="T5" s="20" t="s">
        <v>15</v>
      </c>
      <c r="U5" s="15" t="s">
        <v>16</v>
      </c>
      <c r="V5" s="15" t="s">
        <v>17</v>
      </c>
      <c r="W5" s="21" t="s">
        <v>18</v>
      </c>
      <c r="X5" s="15" t="s">
        <v>19</v>
      </c>
      <c r="Y5" s="15" t="s">
        <v>20</v>
      </c>
      <c r="Z5" s="22" t="s">
        <v>21</v>
      </c>
      <c r="AA5" s="15" t="s">
        <v>22</v>
      </c>
      <c r="AB5" s="14" t="s">
        <v>23</v>
      </c>
      <c r="AC5" s="23" t="s">
        <v>24</v>
      </c>
      <c r="AD5" s="24" t="s">
        <v>8</v>
      </c>
      <c r="AE5" s="25" t="s">
        <v>25</v>
      </c>
      <c r="AF5" s="25" t="s">
        <v>26</v>
      </c>
      <c r="AG5" s="25" t="s">
        <v>27</v>
      </c>
      <c r="AH5" s="26" t="s">
        <v>25</v>
      </c>
      <c r="AI5" s="26" t="s">
        <v>26</v>
      </c>
      <c r="AJ5" s="27" t="s">
        <v>28</v>
      </c>
      <c r="AK5" s="24" t="s">
        <v>8</v>
      </c>
      <c r="AL5" s="25" t="s">
        <v>25</v>
      </c>
      <c r="AM5" s="25" t="s">
        <v>26</v>
      </c>
      <c r="AN5" s="25" t="s">
        <v>29</v>
      </c>
      <c r="AO5" s="25" t="s">
        <v>27</v>
      </c>
      <c r="AP5" s="26" t="s">
        <v>25</v>
      </c>
      <c r="AQ5" s="26" t="s">
        <v>26</v>
      </c>
      <c r="AR5" s="27" t="s">
        <v>28</v>
      </c>
      <c r="AS5" s="24" t="s">
        <v>8</v>
      </c>
      <c r="AT5" s="25" t="s">
        <v>25</v>
      </c>
      <c r="AU5" s="25" t="s">
        <v>26</v>
      </c>
      <c r="AV5" s="25" t="s">
        <v>29</v>
      </c>
      <c r="AW5" s="25" t="s">
        <v>27</v>
      </c>
      <c r="AX5" s="26" t="s">
        <v>25</v>
      </c>
      <c r="AY5" s="26" t="s">
        <v>26</v>
      </c>
      <c r="AZ5" s="27" t="s">
        <v>28</v>
      </c>
      <c r="BB5" s="94"/>
      <c r="BC5" s="95"/>
      <c r="BD5" s="95"/>
      <c r="BE5" s="95"/>
      <c r="BF5" s="95"/>
    </row>
    <row r="6" spans="1:58" ht="15" customHeight="1" x14ac:dyDescent="0.2">
      <c r="B6" s="90"/>
      <c r="C6" s="92"/>
      <c r="D6" s="92"/>
      <c r="E6" s="92"/>
      <c r="F6" s="92"/>
      <c r="G6" s="92"/>
      <c r="H6" s="42"/>
      <c r="I6" s="77"/>
      <c r="J6" s="78" t="str">
        <f>IFERROR(IF(A:A="","",IF(OR(B6="",D6="",E6="",F6="",G6="",H6="",I6=""),"",ROUND(IF(I6="Gross Price to Brewers",AD6,IF(I6="Retail Price",AK6,IF(I6="Licensee Retail",AS6,""))),2))),"")</f>
        <v/>
      </c>
      <c r="K6" s="79" t="str">
        <f>IFERROR(IF(A:A="","",IF(OR(B6="",D6="",E6="",F6="",G6="",H6="",I6=""),"",ROUND(IF(I6="Gross Price to Brewers",AG6,IF(I6="Retail Price",AO6,IF(I6="Licensee Retail",AW6,""))),2))),"")</f>
        <v/>
      </c>
      <c r="L6" s="80" t="str">
        <f>IFERROR(IF(A:A="","",IF(OR(B6="",D6="",E6="",F6="",G6="",H6="",I6=""),"",ROUND(IF(I6="Gross Price to Brewers",AJ6,IF(I6="Retail Price",AR6,IF(I6="Licensee Retail",AZ6,""))),2))),"")</f>
        <v/>
      </c>
      <c r="M6" s="81" t="str">
        <f>IFERROR(IF(A:A="","",IF(Q6="Beer",SUM(LOOKUP(2,1/(Rates!$B$3:$B$5&lt;=V6)/(Rates!$C$3:$C$5&gt;=V6),Rates!$D$3:$D$5)*(W6/100)*V6),IF(Q6="Refreshment Beverage",SUM(LOOKUP(2,1/(Rates!$B$7:$B$11&lt;=V6)/(Rates!$C$7:$C$11&gt;=V6),Rates!$D$7:$D$11)*(W6/100)*V6)))),"")</f>
        <v/>
      </c>
      <c r="N6" s="81" t="str">
        <f t="shared" ref="N6:N25" si="0">IF(A:A="","",IF(L6&gt;M6,"YES","NO"))</f>
        <v/>
      </c>
      <c r="O6" s="29"/>
      <c r="P6" s="30" t="str">
        <f t="shared" ref="P6:P25" si="1">IF(A6="","",IF(OR(C6="",C6=5),0,C6))</f>
        <v/>
      </c>
      <c r="Q6" s="65" t="str">
        <f>IF(A6="","",B6)</f>
        <v/>
      </c>
      <c r="R6" s="82" t="str">
        <f>IF(A6="","",IF(Q6="Refreshment Beverage",VLOOKUP(VALUE(P6),Rates!G$15:L$19,2,0),VLOOKUP(VALUE(P6),Rates!G$4:L$12,2,0)))</f>
        <v/>
      </c>
      <c r="S6" s="82" t="str">
        <f t="shared" ref="S6:S25" si="2">IF(A6="","",F6)</f>
        <v/>
      </c>
      <c r="T6" s="31" t="str">
        <f>IF(A:A="","",SUM(V6/U6))</f>
        <v/>
      </c>
      <c r="U6" s="82" t="str">
        <f t="shared" ref="U6:U25" si="3">IF(A6="","",E6)</f>
        <v/>
      </c>
      <c r="V6" s="82" t="str">
        <f t="shared" ref="V6:V25" si="4">IF(A6="","",D6*E6)</f>
        <v/>
      </c>
      <c r="W6" s="32" t="str">
        <f t="shared" ref="W6:W25" si="5">IF(A6="","",G6)</f>
        <v/>
      </c>
      <c r="X6" s="33" t="str">
        <f>IF(A:A="","",IF(Q6="Refreshment Beverage",VLOOKUP(P6,Rates!G$15:L$19,6,0)*V6,VLOOKUP(P6,Rates!G$4:L$12,6,0)*V6))</f>
        <v/>
      </c>
      <c r="Y6" s="33" t="str">
        <f t="shared" ref="Y6:Y25" si="6">IF(A:A="","",IF(Q6="Refreshment Beverage",0,IF(S6="Keg",0,ROUND(0.34/12*U6,2))))</f>
        <v/>
      </c>
      <c r="Z6" s="33" t="str">
        <f t="shared" ref="Z6:Z25" si="7">IF(A:A="","",IF(AND(S6="Can",U6=8,Q6="Beer"),U6*0.0192,IF(AND(S6="Can",U6=15,Q6="Beer"),U6*0.0096,IF(AND(S6="Can",U6=20,Q6="Beer"),U6*0.0102,IF(AND(S6="Can",U6=30,Q6="Beer"),U6*0.0085,IF(AND(S6="Can",U6=36,Q6="Beer"),U6*0.0071,IF(AND(S6="Bottle",U6=24,Q6="Beer"),U6*0.0153,IF(AND(Q6="Refreshment Beverage",T6&gt;0.49,T6&lt;0.401),U6*0.0512,IF(AND(Q6="Refreshment Beverage",T6&gt;0.4,T6&lt;0.47),U6*0.0614,IF(AND(Q6="Refreshment Beverage",T6&gt;0.469,T6&lt;0.66),U6*0.0716,IF(AND(Q6="Refreshment Beverage",T6&gt;0.659,T6&lt;0.75),U6*0.1023,IF(AND(Q6="Refreshment Beverage",T6&gt;0.749,T6&lt;0.9),U6*0.1125,IF(AND(Q6="Refreshment Beverage",T6&gt;0.899,T6&lt;1),U6*0.133,IF(AND(Q6="Refreshment Beverage",T6=1),U6*0.1432,IF(AND(Q6="Refreshment Beverage",T6=1.14),U6*0.1637,IF(AND(Q6="Refreshment Beverage",T6=2),U6*0.2864,IF(AND(Q6="Refreshment Beverage",T6=3),U6*0.4297,IF(AND(Q6="Refreshment Beverage",T6=1.75),U6*0.2558,0))))))))))))))))))</f>
        <v/>
      </c>
      <c r="AA6" s="83" t="str">
        <f>IF(A:A="","",IF(Q6="Refreshment Beverage","",IF(AND(Q6="Beer",P6=0),SUM(LOOKUP(2,1/(Rates!$B$15:$B$18&lt;=V6)/(Rates!$C$15:$C$18&gt;=V6),Rates!$D$15:$D$18)*V6),VLOOKUP(VALUE(P:P),Rates!A:B,2,0)*V6)))</f>
        <v/>
      </c>
      <c r="AB6" s="83" t="str">
        <f>IF(A:A="","",IF(Q6="Refreshment Beverage","",IF(AND(Q6="Beer",P6=0),SUM(LOOKUP(2,1/(Rates!$B$15:$B$18&lt;=V6)/(Rates!$C$15:$C$18&gt;=V6),Rates!$E$15:$E$18)*V6),VLOOKUP(VALUE(P:P),Rates!A:C,3,0)*V6)))</f>
        <v/>
      </c>
      <c r="AC6" s="84" t="str">
        <f>IFERROR(IF(A:A="","",IF(Q6="Beer","",IF(VALUE(P6)=0,VLOOKUP(VLOOKUP(A:A,#REF!,16,0),Rates!A:E,2,0),VLOOKUP(VALUE(P6),Rates!A$31:B$34,2,0)*V6))),0)</f>
        <v/>
      </c>
      <c r="AD6" s="34" t="str">
        <f t="shared" ref="AD6:AD25" si="8">IF(I6="Gross Price to Brewers",H6,"")</f>
        <v/>
      </c>
      <c r="AE6" s="85" t="str">
        <f t="shared" ref="AE6:AE25" si="9">IF(AD:AD="","",ROUND(SUM(AD6*(R6/100)),4))</f>
        <v/>
      </c>
      <c r="AF6" s="35" t="str">
        <f t="shared" ref="AF6:AF25" si="10">IF(AD:AD="","",IF(Q6="Refreshment Beverage",MAX(AE6,AC6),MAX(AA6,AE6)))</f>
        <v/>
      </c>
      <c r="AG6" s="36" t="str">
        <f t="shared" ref="AG6:AG25" si="11">IF(AD:AD="","",IF(Q6="Refreshment Beverage",AJ6-AI6,SUM(X6:Z6)+AD6+AF6))</f>
        <v/>
      </c>
      <c r="AH6" s="86" t="str">
        <f>IF(AD:AD="","",IF(Q6="Refreshment Beverage",AJ6*(Rates!J$19/100),ROUND(SUM(AG6*(Rates!$J$8/100)),4)))</f>
        <v/>
      </c>
      <c r="AI6" s="37" t="str">
        <f t="shared" ref="AI6:AI25" si="12">IF(AD:AD="","",IF(Q6="Refreshment Beverage",AH6,MAX(AB6,AH6)))</f>
        <v/>
      </c>
      <c r="AJ6" s="38" t="str">
        <f t="shared" ref="AJ6:AJ25" si="13">IF(AD:AD="","",IF(Q6="Refreshment Beverage",SUM(AD6+X6+Y6+Z6+AF6),SUM(AG6+AI6)))</f>
        <v/>
      </c>
      <c r="AK6" s="34" t="str">
        <f t="shared" ref="AK6:AK25" si="14">IF(AR6="","",IF(Q6="Refreshment Beverage",ROUND(SUM(AR6-AQ6-Z6-Y6-X6),2),ROUND(SUM(AR6-AQ6-AM6-X6-Y6-Z6),2)))</f>
        <v/>
      </c>
      <c r="AL6" s="85" t="str">
        <f>IF(AR6="","",IF(Q6="Refreshment Beverage",ROUND(AR6*Rates!K$19,4),ROUND(AN6*(VLOOKUP(VALUE(P6),Rates!G$4:L$12,3,0)),4)))</f>
        <v/>
      </c>
      <c r="AM6" s="39" t="str">
        <f>IF(AR6="","",IF(Q6="Refreshment Beverage",AR6*(Rates!J$19/100),MAX(AL6,AA6)))</f>
        <v/>
      </c>
      <c r="AN6" s="40" t="str">
        <f t="shared" ref="AN6:AN13" si="15">IF(AR6="","",ROUND(SUM(AR6-AQ6-X6-Y6-Z6),4))</f>
        <v/>
      </c>
      <c r="AO6" s="40" t="str">
        <f t="shared" ref="AO6:AO12" si="16">IF(AR6="","",IF(Q6="Refreshment Beverage",ROUND(AR6-AM6,2),ROUND(SUM(AR6-AQ6),2)))</f>
        <v/>
      </c>
      <c r="AP6" s="87" t="str">
        <f>IF(AR6="","",IF(Q6="Refreshment Beverage",ROUND(SUM(VLOOKUP(P:P,Rates!G$15:L$19,3,0)*(AR6-X6-Y6-Z6)),4),ROUND(SUM(Rates!$K$8*AR6),4)))</f>
        <v/>
      </c>
      <c r="AQ6" s="86" t="str">
        <f t="shared" ref="AQ6:AQ12" si="17">IF(AR6="","",IF(Q6="Refreshment Beverage",MAX(AC6,AP6),MAX(AP6,AB6)))</f>
        <v/>
      </c>
      <c r="AR6" s="38" t="str">
        <f t="shared" ref="AR6:AR25" si="18">IF(I6="Retail Price",SUM(H6+0.004),"")</f>
        <v/>
      </c>
      <c r="AS6" s="34" t="str">
        <f t="shared" ref="AS6:AS13" si="19">IF(AW6="","",IF(Q6="Refreshment Beverage",SUM(AZ6-AU6-X6-Y6-Z6),SUM(AW6-AU6-X6-Y6-Z6)))</f>
        <v/>
      </c>
      <c r="AT6" s="85" t="str">
        <f>IF(AW6="","",IF(Q6="Refreshment Beverage",ROUND((AZ6-X6-Y6-Z6)*VLOOKUP(VALUE(P6),Rates!G$15:L$19,3,0),4),ROUND(AV6*(VLOOKUP(VALUE(P6),Rates!G:L,3,0)),4)))</f>
        <v/>
      </c>
      <c r="AU6" s="39" t="str">
        <f>IF(AW6="","",IF(Q6="Refreshment Beverage",MAX(AT6,AC6),MAX(AA6,AT6)))</f>
        <v/>
      </c>
      <c r="AV6" s="40" t="str">
        <f t="shared" ref="AV6:AV13" si="20">IF(AW6="","",IF(Q6="Refreshment Beverage",SUM(AZ6-AU6-X6-Y6-Z6),ROUND(SUM(AZ6-AY6-X6-Y6-Z6),4)))</f>
        <v/>
      </c>
      <c r="AW6" s="36" t="str">
        <f t="shared" ref="AW6:AW25" si="21">IF(I6="Licensee Retail",H6,"")</f>
        <v/>
      </c>
      <c r="AX6" s="87" t="str">
        <f>IF(AW6="","",IF(Q6="Refreshment Beverage",ROUND(SUM(AW6*Rates!K$19),4),ROUND(SUM(AW6*(Rates!J$8/100)),4)))</f>
        <v/>
      </c>
      <c r="AY6" s="37" t="str">
        <f t="shared" ref="AY6:AY13" si="22">IF(AW6="","",MAX($AB6,AX6))</f>
        <v/>
      </c>
      <c r="AZ6" s="38" t="str">
        <f t="shared" ref="AZ6:AZ13" si="23">IF(AW6="","",SUM(AW6+AY6))</f>
        <v/>
      </c>
      <c r="BB6" s="93"/>
    </row>
    <row r="7" spans="1:58" ht="15" customHeight="1" x14ac:dyDescent="0.2">
      <c r="B7" s="90"/>
      <c r="C7" s="92"/>
      <c r="D7" s="92"/>
      <c r="E7" s="92"/>
      <c r="F7" s="92"/>
      <c r="G7" s="92"/>
      <c r="H7" s="42"/>
      <c r="I7" s="77"/>
      <c r="J7" s="78" t="str">
        <f t="shared" ref="J7:J25" si="24">IFERROR(IF(A:A="","",IF(OR(B7="",D7="",E7="",F7="",G7="",H7="",I7=""),"",ROUND(IF(I7="Gross Price to Brewers",AD7,IF(I7="Retail Price",AK7,IF(I7="Licensee Retail",AS7,""))),2))),"")</f>
        <v/>
      </c>
      <c r="K7" s="79" t="str">
        <f t="shared" ref="K7:K25" si="25">IFERROR(IF(A:A="","",IF(OR(B7="",D7="",E7="",F7="",G7="",H7="",I7=""),"",ROUND(IF(I7="Gross Price to Brewers",AG7,IF(I7="Retail Price",AO7,IF(I7="Licensee Retail",AW7,""))),2))),"")</f>
        <v/>
      </c>
      <c r="L7" s="80" t="str">
        <f t="shared" ref="L7:L25" si="26">IFERROR(IF(A:A="","",IF(OR(B7="",D7="",E7="",F7="",G7="",H7="",I7=""),"",ROUND(IF(I7="Gross Price to Brewers",AJ7,IF(I7="Retail Price",AR7,IF(I7="Licensee Retail",AZ7,""))),2))),"")</f>
        <v/>
      </c>
      <c r="M7" s="81" t="str">
        <f>IFERROR(IF(A:A="","",IF(Q7="Beer",SUM(LOOKUP(2,1/(Rates!$B$3:$B$5&lt;=V7)/(Rates!$C$3:$C$5&gt;=V7),Rates!$D$3:$D$5)*(W7/100)*V7),IF(Q7="Refreshment Beverage",SUM(LOOKUP(2,1/(Rates!$B$7:$B$11&lt;=V7)/(Rates!$C$7:$C$11&gt;=V7),Rates!$D$7:$D$11)*(W7/100)*V7)))),"")</f>
        <v/>
      </c>
      <c r="N7" s="81" t="str">
        <f t="shared" si="0"/>
        <v/>
      </c>
      <c r="O7" s="29"/>
      <c r="P7" s="30" t="str">
        <f t="shared" si="1"/>
        <v/>
      </c>
      <c r="Q7" s="65" t="str">
        <f t="shared" ref="Q7:Q25" si="27">IF(A7="","",B7)</f>
        <v/>
      </c>
      <c r="R7" s="82" t="str">
        <f>IF(A7="","",IF(Q7="Refreshment Beverage",VLOOKUP(VALUE(P7),Rates!G$15:L$19,2,0),VLOOKUP(VALUE(P7),Rates!G$4:L$12,2,0)))</f>
        <v/>
      </c>
      <c r="S7" s="82" t="str">
        <f t="shared" si="2"/>
        <v/>
      </c>
      <c r="T7" s="31" t="str">
        <f t="shared" ref="T6:T24" si="28">IF(A7="","",F7)</f>
        <v/>
      </c>
      <c r="U7" s="82" t="str">
        <f t="shared" si="3"/>
        <v/>
      </c>
      <c r="V7" s="82" t="str">
        <f t="shared" si="4"/>
        <v/>
      </c>
      <c r="W7" s="32" t="str">
        <f t="shared" si="5"/>
        <v/>
      </c>
      <c r="X7" s="33" t="str">
        <f>IF(A:A="","",IF(Q7="Refreshment Beverage",VLOOKUP(P7,Rates!G$15:L$19,6,0)*V7,VLOOKUP(P7,Rates!G$4:L$12,6,0)*V7))</f>
        <v/>
      </c>
      <c r="Y7" s="33" t="str">
        <f t="shared" si="6"/>
        <v/>
      </c>
      <c r="Z7" s="33" t="str">
        <f t="shared" si="7"/>
        <v/>
      </c>
      <c r="AA7" s="83" t="str">
        <f>IF(A:A="","",IF(Q7="Refreshment Beverage","",IF(AND(Q7="Beer",P7=0),SUM(LOOKUP(2,1/(Rates!$B$15:$B$18&lt;=V7)/(Rates!$C$15:$C$18&gt;=V7),Rates!$D$15:$D$18)*V7),VLOOKUP(VALUE(P:P),Rates!A:B,2,0)*V7)))</f>
        <v/>
      </c>
      <c r="AB7" s="83" t="str">
        <f>IF(A:A="","",IF(Q7="Refreshment Beverage","",IF(AND(Q7="Beer",P7=0),SUM(LOOKUP(2,1/(Rates!$B$15:$B$18&lt;=V7)/(Rates!$C$15:$C$18&gt;=V7),Rates!$E$15:$E$18)*V7),VLOOKUP(VALUE(P:P),Rates!A:C,3,0)*V7)))</f>
        <v/>
      </c>
      <c r="AC7" s="84" t="str">
        <f>IFERROR(IF(A:A="","",IF(Q7="Beer","",IF(VALUE(P7)=0,VLOOKUP(VLOOKUP(A:A,#REF!,16,0),Rates!A:E,2,0),VLOOKUP(VALUE(P7),Rates!A$31:B$34,2,0)*V7))),0)</f>
        <v/>
      </c>
      <c r="AD7" s="34" t="str">
        <f t="shared" si="8"/>
        <v/>
      </c>
      <c r="AE7" s="85" t="str">
        <f t="shared" si="9"/>
        <v/>
      </c>
      <c r="AF7" s="35" t="str">
        <f t="shared" si="10"/>
        <v/>
      </c>
      <c r="AG7" s="36" t="str">
        <f t="shared" si="11"/>
        <v/>
      </c>
      <c r="AH7" s="86" t="str">
        <f>IF(AD:AD="","",IF(Q7="Refreshment Beverage",AJ7*(Rates!J$19/100),ROUND(SUM(AG7*(Rates!$J$8/100)),4)))</f>
        <v/>
      </c>
      <c r="AI7" s="37" t="str">
        <f t="shared" si="12"/>
        <v/>
      </c>
      <c r="AJ7" s="38" t="str">
        <f t="shared" si="13"/>
        <v/>
      </c>
      <c r="AK7" s="34" t="str">
        <f t="shared" si="14"/>
        <v/>
      </c>
      <c r="AL7" s="85" t="str">
        <f>IF(AR7="","",IF(Q7="Refreshment Beverage",ROUND(AR7*Rates!K$19,4),ROUND(AN7*(VLOOKUP(VALUE(P7),Rates!G$4:L$12,3,0)),4)))</f>
        <v/>
      </c>
      <c r="AM7" s="39" t="str">
        <f>IF(AR7="","",IF(Q7="Refreshment Beverage",AR7*(Rates!J$19/100),MAX(AL7,AA7)))</f>
        <v/>
      </c>
      <c r="AN7" s="40" t="str">
        <f t="shared" si="15"/>
        <v/>
      </c>
      <c r="AO7" s="40" t="str">
        <f t="shared" si="16"/>
        <v/>
      </c>
      <c r="AP7" s="87" t="str">
        <f>IF(AR7="","",IF(Q7="Refreshment Beverage",ROUND(SUM(VLOOKUP(P:P,Rates!G$15:L$19,3,0)*(AR7-X7-Y7-Z7)),4),ROUND(SUM(Rates!$K$8*AR7),4)))</f>
        <v/>
      </c>
      <c r="AQ7" s="86" t="str">
        <f t="shared" si="17"/>
        <v/>
      </c>
      <c r="AR7" s="38" t="str">
        <f t="shared" si="18"/>
        <v/>
      </c>
      <c r="AS7" s="34" t="str">
        <f>IF(AW7="","",IF(Q7="Refreshment Beverage",SUM(AZ7-AU7-X7-Y7-Z7),SUM(AW7-AU7-X7-Y7-Z7)))</f>
        <v/>
      </c>
      <c r="AT7" s="85" t="str">
        <f>IF(AW7="","",IF(Q7="Refreshment Beverage",ROUND((AZ7-X7-Y7-Z7)*VLOOKUP(VALUE(P7),Rates!G$15:L$19,3,0),4),ROUND(AV7*(VLOOKUP(VALUE(P7),Rates!G:L,3,0)),4)))</f>
        <v/>
      </c>
      <c r="AU7" s="39" t="str">
        <f>IF(AW7="","",IF(Q7="Refreshment Beverage",MAX(AT7,AC7),MAX(AA7,AT7)))</f>
        <v/>
      </c>
      <c r="AV7" s="40" t="str">
        <f t="shared" si="20"/>
        <v/>
      </c>
      <c r="AW7" s="36" t="str">
        <f t="shared" si="21"/>
        <v/>
      </c>
      <c r="AX7" s="87" t="str">
        <f>IF(AW7="","",IF(Q7="Refreshment Beverage",ROUND(SUM(AW7*Rates!K$19),4),ROUND(SUM(AW7*(Rates!J$8/100)),4)))</f>
        <v/>
      </c>
      <c r="AY7" s="37" t="str">
        <f t="shared" si="22"/>
        <v/>
      </c>
      <c r="AZ7" s="38" t="str">
        <f t="shared" si="23"/>
        <v/>
      </c>
      <c r="BB7" s="93"/>
    </row>
    <row r="8" spans="1:58" ht="15" customHeight="1" x14ac:dyDescent="0.2">
      <c r="B8" s="90"/>
      <c r="C8" s="92"/>
      <c r="D8" s="92"/>
      <c r="E8" s="92"/>
      <c r="F8" s="92"/>
      <c r="G8" s="92"/>
      <c r="H8" s="42"/>
      <c r="I8" s="77"/>
      <c r="J8" s="78" t="str">
        <f t="shared" si="24"/>
        <v/>
      </c>
      <c r="K8" s="79" t="str">
        <f t="shared" si="25"/>
        <v/>
      </c>
      <c r="L8" s="80" t="str">
        <f t="shared" si="26"/>
        <v/>
      </c>
      <c r="M8" s="81" t="str">
        <f>IFERROR(IF(A:A="","",IF(Q8="Beer",SUM(LOOKUP(2,1/(Rates!$B$3:$B$5&lt;=V8)/(Rates!$C$3:$C$5&gt;=V8),Rates!$D$3:$D$5)*(W8/100)*V8),IF(Q8="Refreshment Beverage",SUM(LOOKUP(2,1/(Rates!$B$7:$B$11&lt;=V8)/(Rates!$C$7:$C$11&gt;=V8),Rates!$D$7:$D$11)*(W8/100)*V8)))),"")</f>
        <v/>
      </c>
      <c r="N8" s="81" t="str">
        <f t="shared" si="0"/>
        <v/>
      </c>
      <c r="O8" s="29"/>
      <c r="P8" s="30" t="str">
        <f t="shared" si="1"/>
        <v/>
      </c>
      <c r="Q8" s="65" t="str">
        <f t="shared" si="27"/>
        <v/>
      </c>
      <c r="R8" s="82" t="str">
        <f>IF(A8="","",IF(Q8="Refreshment Beverage",VLOOKUP(VALUE(P8),Rates!G$15:L$19,2,0),VLOOKUP(VALUE(P8),Rates!G$4:L$12,2,0)))</f>
        <v/>
      </c>
      <c r="S8" s="82" t="str">
        <f t="shared" si="2"/>
        <v/>
      </c>
      <c r="T8" s="31" t="str">
        <f t="shared" si="28"/>
        <v/>
      </c>
      <c r="U8" s="82" t="str">
        <f t="shared" si="3"/>
        <v/>
      </c>
      <c r="V8" s="82" t="str">
        <f t="shared" si="4"/>
        <v/>
      </c>
      <c r="W8" s="32" t="str">
        <f t="shared" si="5"/>
        <v/>
      </c>
      <c r="X8" s="33" t="str">
        <f>IF(A:A="","",IF(Q8="Refreshment Beverage",VLOOKUP(P8,Rates!G$15:L$19,6,0)*V8,VLOOKUP(P8,Rates!G$4:L$12,6,0)*V8))</f>
        <v/>
      </c>
      <c r="Y8" s="33" t="str">
        <f t="shared" si="6"/>
        <v/>
      </c>
      <c r="Z8" s="33" t="str">
        <f t="shared" si="7"/>
        <v/>
      </c>
      <c r="AA8" s="83" t="str">
        <f>IF(A:A="","",IF(Q8="Refreshment Beverage","",IF(AND(Q8="Beer",P8=0),SUM(LOOKUP(2,1/(Rates!$B$15:$B$18&lt;=V8)/(Rates!$C$15:$C$18&gt;=V8),Rates!$D$15:$D$18)*V8),VLOOKUP(VALUE(P:P),Rates!A:B,2,0)*V8)))</f>
        <v/>
      </c>
      <c r="AB8" s="83" t="str">
        <f>IF(A:A="","",IF(Q8="Refreshment Beverage","",IF(AND(Q8="Beer",P8=0),SUM(LOOKUP(2,1/(Rates!$B$15:$B$18&lt;=V8)/(Rates!$C$15:$C$18&gt;=V8),Rates!$E$15:$E$18)*V8),VLOOKUP(VALUE(P:P),Rates!A:C,3,0)*V8)))</f>
        <v/>
      </c>
      <c r="AC8" s="84" t="str">
        <f>IFERROR(IF(A:A="","",IF(Q8="Beer","",IF(VALUE(P8)=0,VLOOKUP(VLOOKUP(A:A,#REF!,16,0),Rates!A:E,2,0),VLOOKUP(VALUE(P8),Rates!A$31:B$34,2,0)*V8))),0)</f>
        <v/>
      </c>
      <c r="AD8" s="34" t="str">
        <f t="shared" si="8"/>
        <v/>
      </c>
      <c r="AE8" s="85" t="str">
        <f t="shared" si="9"/>
        <v/>
      </c>
      <c r="AF8" s="35" t="str">
        <f t="shared" si="10"/>
        <v/>
      </c>
      <c r="AG8" s="36" t="str">
        <f t="shared" si="11"/>
        <v/>
      </c>
      <c r="AH8" s="86" t="str">
        <f>IF(AD:AD="","",IF(Q8="Refreshment Beverage",AJ8*(Rates!J$19/100),ROUND(SUM(AG8*(Rates!$J$8/100)),4)))</f>
        <v/>
      </c>
      <c r="AI8" s="37" t="str">
        <f t="shared" si="12"/>
        <v/>
      </c>
      <c r="AJ8" s="38" t="str">
        <f t="shared" si="13"/>
        <v/>
      </c>
      <c r="AK8" s="34" t="str">
        <f t="shared" si="14"/>
        <v/>
      </c>
      <c r="AL8" s="85" t="str">
        <f>IF(AR8="","",IF(Q8="Refreshment Beverage",ROUND(AR8*Rates!K$19,4),ROUND(AN8*(VLOOKUP(VALUE(P8),Rates!G$4:L$12,3,0)),4)))</f>
        <v/>
      </c>
      <c r="AM8" s="39" t="str">
        <f>IF(AR8="","",IF(Q8="Refreshment Beverage",AR8*(Rates!J$19/100),MAX(AL8,AA8)))</f>
        <v/>
      </c>
      <c r="AN8" s="40" t="str">
        <f t="shared" si="15"/>
        <v/>
      </c>
      <c r="AO8" s="40" t="str">
        <f t="shared" si="16"/>
        <v/>
      </c>
      <c r="AP8" s="87" t="str">
        <f>IF(AR8="","",IF(Q8="Refreshment Beverage",ROUND(SUM(VLOOKUP(P:P,Rates!G$15:L$19,3,0)*(AR8-X8-Y8-Z8)),4),ROUND(SUM(Rates!$K$8*AR8),4)))</f>
        <v/>
      </c>
      <c r="AQ8" s="86" t="str">
        <f t="shared" si="17"/>
        <v/>
      </c>
      <c r="AR8" s="38" t="str">
        <f t="shared" si="18"/>
        <v/>
      </c>
      <c r="AS8" s="34" t="str">
        <f t="shared" si="19"/>
        <v/>
      </c>
      <c r="AT8" s="85" t="str">
        <f>IF(AW8="","",IF(Q8="Refreshment Beverage",ROUND((AZ8-X8-Y8-Z8)*VLOOKUP(VALUE(P8),Rates!G$15:L$19,3,0),4),ROUND(AV8*(VLOOKUP(VALUE(P8),Rates!G:L,3,0)),4)))</f>
        <v/>
      </c>
      <c r="AU8" s="39" t="str">
        <f t="shared" ref="AU8:AU25" si="29">IF(AW8="","",IF(Q8="Refreshment Beverage",MAX(AT8,AC8),MAX(AA8,AT8)))</f>
        <v/>
      </c>
      <c r="AV8" s="40" t="str">
        <f t="shared" si="20"/>
        <v/>
      </c>
      <c r="AW8" s="36" t="str">
        <f t="shared" si="21"/>
        <v/>
      </c>
      <c r="AX8" s="87" t="str">
        <f>IF(AW8="","",IF(Q8="Refreshment Beverage",ROUND(SUM(AW8*Rates!K$19),4),ROUND(SUM(AW8*(Rates!J$8/100)),4)))</f>
        <v/>
      </c>
      <c r="AY8" s="37" t="str">
        <f t="shared" si="22"/>
        <v/>
      </c>
      <c r="AZ8" s="38" t="str">
        <f t="shared" si="23"/>
        <v/>
      </c>
      <c r="BB8" s="93"/>
    </row>
    <row r="9" spans="1:58" ht="15" customHeight="1" x14ac:dyDescent="0.2">
      <c r="B9" s="90"/>
      <c r="C9" s="92"/>
      <c r="D9" s="92"/>
      <c r="E9" s="92"/>
      <c r="F9" s="92"/>
      <c r="G9" s="92"/>
      <c r="H9" s="42"/>
      <c r="I9" s="77"/>
      <c r="J9" s="78" t="str">
        <f t="shared" si="24"/>
        <v/>
      </c>
      <c r="K9" s="79" t="str">
        <f t="shared" si="25"/>
        <v/>
      </c>
      <c r="L9" s="80" t="str">
        <f t="shared" si="26"/>
        <v/>
      </c>
      <c r="M9" s="81" t="str">
        <f>IFERROR(IF(A:A="","",IF(Q9="Beer",SUM(LOOKUP(2,1/(Rates!$B$3:$B$5&lt;=V9)/(Rates!$C$3:$C$5&gt;=V9),Rates!$D$3:$D$5)*(W9/100)*V9),IF(Q9="Refreshment Beverage",SUM(LOOKUP(2,1/(Rates!$B$7:$B$11&lt;=V9)/(Rates!$C$7:$C$11&gt;=V9),Rates!$D$7:$D$11)*(W9/100)*V9)))),"")</f>
        <v/>
      </c>
      <c r="N9" s="81" t="str">
        <f t="shared" si="0"/>
        <v/>
      </c>
      <c r="O9" s="29"/>
      <c r="P9" s="30" t="str">
        <f t="shared" si="1"/>
        <v/>
      </c>
      <c r="Q9" s="65" t="str">
        <f t="shared" si="27"/>
        <v/>
      </c>
      <c r="R9" s="82" t="str">
        <f>IF(A9="","",IF(Q9="Refreshment Beverage",VLOOKUP(VALUE(P9),Rates!G$15:L$19,2,0),VLOOKUP(VALUE(P9),Rates!G$4:L$12,2,0)))</f>
        <v/>
      </c>
      <c r="S9" s="82" t="str">
        <f t="shared" si="2"/>
        <v/>
      </c>
      <c r="T9" s="31" t="str">
        <f t="shared" si="28"/>
        <v/>
      </c>
      <c r="U9" s="82" t="str">
        <f t="shared" si="3"/>
        <v/>
      </c>
      <c r="V9" s="82" t="str">
        <f t="shared" si="4"/>
        <v/>
      </c>
      <c r="W9" s="32" t="str">
        <f t="shared" si="5"/>
        <v/>
      </c>
      <c r="X9" s="33" t="str">
        <f>IF(A:A="","",IF(Q9="Refreshment Beverage",VLOOKUP(P9,Rates!G$15:L$19,6,0)*V9,VLOOKUP(P9,Rates!G$4:L$12,6,0)*V9))</f>
        <v/>
      </c>
      <c r="Y9" s="33" t="str">
        <f t="shared" si="6"/>
        <v/>
      </c>
      <c r="Z9" s="33" t="str">
        <f t="shared" si="7"/>
        <v/>
      </c>
      <c r="AA9" s="83" t="str">
        <f>IF(A:A="","",IF(Q9="Refreshment Beverage","",IF(AND(Q9="Beer",P9=0),SUM(LOOKUP(2,1/(Rates!$B$15:$B$18&lt;=V9)/(Rates!$C$15:$C$18&gt;=V9),Rates!$D$15:$D$18)*V9),VLOOKUP(VALUE(P:P),Rates!A:B,2,0)*V9)))</f>
        <v/>
      </c>
      <c r="AB9" s="83" t="str">
        <f>IF(A:A="","",IF(Q9="Refreshment Beverage","",IF(AND(Q9="Beer",P9=0),SUM(LOOKUP(2,1/(Rates!$B$15:$B$18&lt;=V9)/(Rates!$C$15:$C$18&gt;=V9),Rates!$E$15:$E$18)*V9),VLOOKUP(VALUE(P:P),Rates!A:C,3,0)*V9)))</f>
        <v/>
      </c>
      <c r="AC9" s="84" t="str">
        <f>IFERROR(IF(A:A="","",IF(Q9="Beer","",IF(VALUE(P9)=0,VLOOKUP(VLOOKUP(A:A,#REF!,16,0),Rates!A:E,2,0),VLOOKUP(VALUE(P9),Rates!A$31:B$34,2,0)*V9))),0)</f>
        <v/>
      </c>
      <c r="AD9" s="34" t="str">
        <f t="shared" si="8"/>
        <v/>
      </c>
      <c r="AE9" s="85" t="str">
        <f t="shared" si="9"/>
        <v/>
      </c>
      <c r="AF9" s="35" t="str">
        <f t="shared" si="10"/>
        <v/>
      </c>
      <c r="AG9" s="36" t="str">
        <f t="shared" si="11"/>
        <v/>
      </c>
      <c r="AH9" s="86" t="str">
        <f>IF(AD:AD="","",IF(Q9="Refreshment Beverage",AJ9*(Rates!J$19/100),ROUND(SUM(AG9*(Rates!$J$8/100)),4)))</f>
        <v/>
      </c>
      <c r="AI9" s="37" t="str">
        <f t="shared" si="12"/>
        <v/>
      </c>
      <c r="AJ9" s="38" t="str">
        <f t="shared" si="13"/>
        <v/>
      </c>
      <c r="AK9" s="34" t="str">
        <f t="shared" si="14"/>
        <v/>
      </c>
      <c r="AL9" s="85" t="str">
        <f>IF(AR9="","",IF(Q9="Refreshment Beverage",ROUND(AR9*Rates!K$19,4),ROUND(AN9*(VLOOKUP(VALUE(P9),Rates!G$4:L$12,3,0)),4)))</f>
        <v/>
      </c>
      <c r="AM9" s="39" t="str">
        <f>IF(AR9="","",IF(Q9="Refreshment Beverage",AR9*(Rates!J$19/100),MAX(AL9,AA9)))</f>
        <v/>
      </c>
      <c r="AN9" s="40" t="str">
        <f t="shared" si="15"/>
        <v/>
      </c>
      <c r="AO9" s="40" t="str">
        <f t="shared" si="16"/>
        <v/>
      </c>
      <c r="AP9" s="87" t="str">
        <f>IF(AR9="","",IF(Q9="Refreshment Beverage",ROUND(SUM(VLOOKUP(P:P,Rates!G$15:L$19,3,0)*(AR9-X9-Y9-Z9)),4),ROUND(SUM(Rates!$K$8*AR9),4)))</f>
        <v/>
      </c>
      <c r="AQ9" s="86" t="str">
        <f t="shared" si="17"/>
        <v/>
      </c>
      <c r="AR9" s="38" t="str">
        <f t="shared" si="18"/>
        <v/>
      </c>
      <c r="AS9" s="34" t="str">
        <f t="shared" si="19"/>
        <v/>
      </c>
      <c r="AT9" s="85" t="str">
        <f>IF(AW9="","",IF(Q9="Refreshment Beverage",ROUND((AZ9-X9-Y9-Z9)*VLOOKUP(VALUE(P9),Rates!G$15:L$19,3,0),4),ROUND(AV9*(VLOOKUP(VALUE(P9),Rates!G:L,3,0)),4)))</f>
        <v/>
      </c>
      <c r="AU9" s="39" t="str">
        <f t="shared" si="29"/>
        <v/>
      </c>
      <c r="AV9" s="40" t="str">
        <f t="shared" si="20"/>
        <v/>
      </c>
      <c r="AW9" s="36" t="str">
        <f t="shared" si="21"/>
        <v/>
      </c>
      <c r="AX9" s="87" t="str">
        <f>IF(AW9="","",IF(Q9="Refreshment Beverage",ROUND(SUM(AW9*Rates!K$19),4),ROUND(SUM(AW9*(Rates!J$8/100)),4)))</f>
        <v/>
      </c>
      <c r="AY9" s="37" t="str">
        <f t="shared" si="22"/>
        <v/>
      </c>
      <c r="AZ9" s="38" t="str">
        <f t="shared" si="23"/>
        <v/>
      </c>
      <c r="BB9" s="93"/>
    </row>
    <row r="10" spans="1:58" ht="15" customHeight="1" x14ac:dyDescent="0.2">
      <c r="B10" s="90"/>
      <c r="C10" s="92"/>
      <c r="D10" s="92"/>
      <c r="E10" s="92"/>
      <c r="F10" s="92"/>
      <c r="G10" s="92"/>
      <c r="H10" s="42"/>
      <c r="I10" s="77"/>
      <c r="J10" s="78" t="str">
        <f t="shared" si="24"/>
        <v/>
      </c>
      <c r="K10" s="79" t="str">
        <f t="shared" si="25"/>
        <v/>
      </c>
      <c r="L10" s="80" t="str">
        <f t="shared" si="26"/>
        <v/>
      </c>
      <c r="M10" s="81" t="str">
        <f>IFERROR(IF(A:A="","",IF(Q10="Beer",SUM(LOOKUP(2,1/(Rates!$B$3:$B$5&lt;=V10)/(Rates!$C$3:$C$5&gt;=V10),Rates!$D$3:$D$5)*(W10/100)*V10),IF(Q10="Refreshment Beverage",SUM(LOOKUP(2,1/(Rates!$B$7:$B$11&lt;=V10)/(Rates!$C$7:$C$11&gt;=V10),Rates!$D$7:$D$11)*(W10/100)*V10)))),"")</f>
        <v/>
      </c>
      <c r="N10" s="81" t="str">
        <f t="shared" si="0"/>
        <v/>
      </c>
      <c r="O10" s="29"/>
      <c r="P10" s="30" t="str">
        <f t="shared" si="1"/>
        <v/>
      </c>
      <c r="Q10" s="65" t="str">
        <f t="shared" si="27"/>
        <v/>
      </c>
      <c r="R10" s="82" t="str">
        <f>IF(A10="","",IF(Q10="Refreshment Beverage",VLOOKUP(VALUE(P10),Rates!G$15:L$19,2,0),VLOOKUP(VALUE(P10),Rates!G$4:L$12,2,0)))</f>
        <v/>
      </c>
      <c r="S10" s="82" t="str">
        <f t="shared" si="2"/>
        <v/>
      </c>
      <c r="T10" s="31" t="str">
        <f t="shared" si="28"/>
        <v/>
      </c>
      <c r="U10" s="82" t="str">
        <f t="shared" si="3"/>
        <v/>
      </c>
      <c r="V10" s="82" t="str">
        <f t="shared" si="4"/>
        <v/>
      </c>
      <c r="W10" s="32" t="str">
        <f t="shared" si="5"/>
        <v/>
      </c>
      <c r="X10" s="33" t="str">
        <f>IF(A:A="","",IF(Q10="Refreshment Beverage",VLOOKUP(P10,Rates!G$15:L$19,6,0)*V10,VLOOKUP(P10,Rates!G$4:L$12,6,0)*V10))</f>
        <v/>
      </c>
      <c r="Y10" s="33" t="str">
        <f t="shared" si="6"/>
        <v/>
      </c>
      <c r="Z10" s="33" t="str">
        <f t="shared" si="7"/>
        <v/>
      </c>
      <c r="AA10" s="83" t="str">
        <f>IF(A:A="","",IF(Q10="Refreshment Beverage","",IF(AND(Q10="Beer",P10=0),SUM(LOOKUP(2,1/(Rates!$B$15:$B$18&lt;=V10)/(Rates!$C$15:$C$18&gt;=V10),Rates!$D$15:$D$18)*V10),VLOOKUP(VALUE(P:P),Rates!A:B,2,0)*V10)))</f>
        <v/>
      </c>
      <c r="AB10" s="83" t="str">
        <f>IF(A:A="","",IF(Q10="Refreshment Beverage","",IF(AND(Q10="Beer",P10=0),SUM(LOOKUP(2,1/(Rates!$B$15:$B$18&lt;=V10)/(Rates!$C$15:$C$18&gt;=V10),Rates!$E$15:$E$18)*V10),VLOOKUP(VALUE(P:P),Rates!A:C,3,0)*V10)))</f>
        <v/>
      </c>
      <c r="AC10" s="84" t="str">
        <f>IFERROR(IF(A:A="","",IF(Q10="Beer","",IF(VALUE(P10)=0,VLOOKUP(VLOOKUP(A:A,#REF!,16,0),Rates!A:E,2,0),VLOOKUP(VALUE(P10),Rates!A$31:B$34,2,0)*V10))),0)</f>
        <v/>
      </c>
      <c r="AD10" s="34" t="str">
        <f t="shared" si="8"/>
        <v/>
      </c>
      <c r="AE10" s="85" t="str">
        <f t="shared" si="9"/>
        <v/>
      </c>
      <c r="AF10" s="35" t="str">
        <f t="shared" si="10"/>
        <v/>
      </c>
      <c r="AG10" s="36" t="str">
        <f t="shared" si="11"/>
        <v/>
      </c>
      <c r="AH10" s="86" t="str">
        <f>IF(AD:AD="","",IF(Q10="Refreshment Beverage",AJ10*(Rates!J$19/100),ROUND(SUM(AG10*(Rates!$J$8/100)),4)))</f>
        <v/>
      </c>
      <c r="AI10" s="37" t="str">
        <f t="shared" si="12"/>
        <v/>
      </c>
      <c r="AJ10" s="38" t="str">
        <f t="shared" si="13"/>
        <v/>
      </c>
      <c r="AK10" s="34" t="str">
        <f t="shared" si="14"/>
        <v/>
      </c>
      <c r="AL10" s="85" t="str">
        <f>IF(AR10="","",IF(Q10="Refreshment Beverage",ROUND(AR10*Rates!K$19,4),ROUND(AN10*(VLOOKUP(VALUE(P10),Rates!G$4:L$12,3,0)),4)))</f>
        <v/>
      </c>
      <c r="AM10" s="39" t="str">
        <f>IF(AR10="","",IF(Q10="Refreshment Beverage",AR10*(Rates!J$19/100),MAX(AL10,AA10)))</f>
        <v/>
      </c>
      <c r="AN10" s="40" t="str">
        <f t="shared" si="15"/>
        <v/>
      </c>
      <c r="AO10" s="40" t="str">
        <f t="shared" si="16"/>
        <v/>
      </c>
      <c r="AP10" s="87" t="str">
        <f>IF(AR10="","",IF(Q10="Refreshment Beverage",ROUND(SUM(VLOOKUP(P:P,Rates!G$15:L$19,3,0)*(AR10-X10-Y10-Z10)),4),ROUND(SUM(Rates!$K$8*AR10),4)))</f>
        <v/>
      </c>
      <c r="AQ10" s="86" t="str">
        <f t="shared" si="17"/>
        <v/>
      </c>
      <c r="AR10" s="38" t="str">
        <f t="shared" si="18"/>
        <v/>
      </c>
      <c r="AS10" s="34" t="str">
        <f t="shared" si="19"/>
        <v/>
      </c>
      <c r="AT10" s="85" t="str">
        <f>IF(AW10="","",IF(Q10="Refreshment Beverage",ROUND((AZ10-X10-Y10-Z10)*VLOOKUP(VALUE(P10),Rates!G$15:L$19,3,0),4),ROUND(AV10*(VLOOKUP(VALUE(P10),Rates!G:L,3,0)),4)))</f>
        <v/>
      </c>
      <c r="AU10" s="39" t="str">
        <f t="shared" si="29"/>
        <v/>
      </c>
      <c r="AV10" s="40" t="str">
        <f t="shared" si="20"/>
        <v/>
      </c>
      <c r="AW10" s="36" t="str">
        <f t="shared" si="21"/>
        <v/>
      </c>
      <c r="AX10" s="87" t="str">
        <f>IF(AW10="","",IF(Q10="Refreshment Beverage",ROUND(SUM(AW10*Rates!K$19),4),ROUND(SUM(AW10*(Rates!J$8/100)),4)))</f>
        <v/>
      </c>
      <c r="AY10" s="37" t="str">
        <f t="shared" si="22"/>
        <v/>
      </c>
      <c r="AZ10" s="38" t="str">
        <f t="shared" si="23"/>
        <v/>
      </c>
      <c r="BB10" s="93"/>
    </row>
    <row r="11" spans="1:58" ht="15" customHeight="1" x14ac:dyDescent="0.2">
      <c r="B11" s="90"/>
      <c r="C11" s="92"/>
      <c r="D11" s="92"/>
      <c r="E11" s="92"/>
      <c r="F11" s="92"/>
      <c r="G11" s="92"/>
      <c r="H11" s="42"/>
      <c r="I11" s="77"/>
      <c r="J11" s="78" t="str">
        <f t="shared" si="24"/>
        <v/>
      </c>
      <c r="K11" s="79" t="str">
        <f t="shared" si="25"/>
        <v/>
      </c>
      <c r="L11" s="80" t="str">
        <f t="shared" si="26"/>
        <v/>
      </c>
      <c r="M11" s="81" t="str">
        <f>IFERROR(IF(A:A="","",IF(Q11="Beer",SUM(LOOKUP(2,1/(Rates!$B$3:$B$5&lt;=V11)/(Rates!$C$3:$C$5&gt;=V11),Rates!$D$3:$D$5)*(W11/100)*V11),IF(Q11="Refreshment Beverage",SUM(LOOKUP(2,1/(Rates!$B$7:$B$11&lt;=V11)/(Rates!$C$7:$C$11&gt;=V11),Rates!$D$7:$D$11)*(W11/100)*V11)))),"")</f>
        <v/>
      </c>
      <c r="N11" s="81" t="str">
        <f t="shared" si="0"/>
        <v/>
      </c>
      <c r="O11" s="29"/>
      <c r="P11" s="30" t="str">
        <f t="shared" si="1"/>
        <v/>
      </c>
      <c r="Q11" s="65" t="str">
        <f t="shared" si="27"/>
        <v/>
      </c>
      <c r="R11" s="82" t="str">
        <f>IF(A11="","",IF(Q11="Refreshment Beverage",VLOOKUP(VALUE(P11),Rates!G$15:L$19,2,0),VLOOKUP(VALUE(P11),Rates!G$4:L$12,2,0)))</f>
        <v/>
      </c>
      <c r="S11" s="82" t="str">
        <f t="shared" si="2"/>
        <v/>
      </c>
      <c r="T11" s="31" t="str">
        <f t="shared" si="28"/>
        <v/>
      </c>
      <c r="U11" s="82" t="str">
        <f t="shared" si="3"/>
        <v/>
      </c>
      <c r="V11" s="82" t="str">
        <f t="shared" si="4"/>
        <v/>
      </c>
      <c r="W11" s="32" t="str">
        <f t="shared" si="5"/>
        <v/>
      </c>
      <c r="X11" s="33" t="str">
        <f>IF(A:A="","",IF(Q11="Refreshment Beverage",VLOOKUP(P11,Rates!G$15:L$19,6,0)*V11,VLOOKUP(P11,Rates!G$4:L$12,6,0)*V11))</f>
        <v/>
      </c>
      <c r="Y11" s="33" t="str">
        <f t="shared" si="6"/>
        <v/>
      </c>
      <c r="Z11" s="33" t="str">
        <f t="shared" si="7"/>
        <v/>
      </c>
      <c r="AA11" s="83" t="str">
        <f>IF(A:A="","",IF(Q11="Refreshment Beverage","",IF(AND(Q11="Beer",P11=0),SUM(LOOKUP(2,1/(Rates!$B$15:$B$18&lt;=V11)/(Rates!$C$15:$C$18&gt;=V11),Rates!$D$15:$D$18)*V11),VLOOKUP(VALUE(P:P),Rates!A:B,2,0)*V11)))</f>
        <v/>
      </c>
      <c r="AB11" s="83" t="str">
        <f>IF(A:A="","",IF(Q11="Refreshment Beverage","",IF(AND(Q11="Beer",P11=0),SUM(LOOKUP(2,1/(Rates!$B$15:$B$18&lt;=V11)/(Rates!$C$15:$C$18&gt;=V11),Rates!$E$15:$E$18)*V11),VLOOKUP(VALUE(P:P),Rates!A:C,3,0)*V11)))</f>
        <v/>
      </c>
      <c r="AC11" s="84" t="str">
        <f>IFERROR(IF(A:A="","",IF(Q11="Beer","",IF(VALUE(P11)=0,VLOOKUP(VLOOKUP(A:A,#REF!,16,0),Rates!A:E,2,0),VLOOKUP(VALUE(P11),Rates!A$31:B$34,2,0)*V11))),0)</f>
        <v/>
      </c>
      <c r="AD11" s="34" t="str">
        <f t="shared" si="8"/>
        <v/>
      </c>
      <c r="AE11" s="85" t="str">
        <f t="shared" si="9"/>
        <v/>
      </c>
      <c r="AF11" s="35" t="str">
        <f t="shared" si="10"/>
        <v/>
      </c>
      <c r="AG11" s="36" t="str">
        <f t="shared" si="11"/>
        <v/>
      </c>
      <c r="AH11" s="86" t="str">
        <f>IF(AD:AD="","",IF(Q11="Refreshment Beverage",AJ11*(Rates!J$19/100),ROUND(SUM(AG11*(Rates!$J$8/100)),4)))</f>
        <v/>
      </c>
      <c r="AI11" s="37" t="str">
        <f t="shared" si="12"/>
        <v/>
      </c>
      <c r="AJ11" s="38" t="str">
        <f t="shared" si="13"/>
        <v/>
      </c>
      <c r="AK11" s="34" t="str">
        <f t="shared" si="14"/>
        <v/>
      </c>
      <c r="AL11" s="85" t="str">
        <f>IF(AR11="","",IF(Q11="Refreshment Beverage",ROUND(AR11*Rates!K$19,4),ROUND(AN11*(VLOOKUP(VALUE(P11),Rates!G$4:L$12,3,0)),4)))</f>
        <v/>
      </c>
      <c r="AM11" s="39" t="str">
        <f>IF(AR11="","",IF(Q11="Refreshment Beverage",AR11*(Rates!J$19/100),MAX(AL11,AA11)))</f>
        <v/>
      </c>
      <c r="AN11" s="40" t="str">
        <f t="shared" si="15"/>
        <v/>
      </c>
      <c r="AO11" s="40" t="str">
        <f t="shared" si="16"/>
        <v/>
      </c>
      <c r="AP11" s="87" t="str">
        <f>IF(AR11="","",IF(Q11="Refreshment Beverage",ROUND(SUM(VLOOKUP(P:P,Rates!G$15:L$19,3,0)*(AR11-X11-Y11-Z11)),4),ROUND(SUM(Rates!$K$8*AR11),4)))</f>
        <v/>
      </c>
      <c r="AQ11" s="86" t="str">
        <f t="shared" si="17"/>
        <v/>
      </c>
      <c r="AR11" s="38" t="str">
        <f t="shared" si="18"/>
        <v/>
      </c>
      <c r="AS11" s="34" t="str">
        <f t="shared" si="19"/>
        <v/>
      </c>
      <c r="AT11" s="85" t="str">
        <f>IF(AW11="","",IF(Q11="Refreshment Beverage",ROUND((AZ11-X11-Y11-Z11)*VLOOKUP(VALUE(P11),Rates!G$15:L$19,3,0),4),ROUND(AV11*(VLOOKUP(VALUE(P11),Rates!G:L,3,0)),4)))</f>
        <v/>
      </c>
      <c r="AU11" s="39" t="str">
        <f t="shared" si="29"/>
        <v/>
      </c>
      <c r="AV11" s="40" t="str">
        <f t="shared" si="20"/>
        <v/>
      </c>
      <c r="AW11" s="36" t="str">
        <f t="shared" si="21"/>
        <v/>
      </c>
      <c r="AX11" s="87" t="str">
        <f>IF(AW11="","",IF(Q11="Refreshment Beverage",ROUND(SUM(AW11*Rates!K$19),4),ROUND(SUM(AW11*(Rates!J$8/100)),4)))</f>
        <v/>
      </c>
      <c r="AY11" s="37" t="str">
        <f t="shared" si="22"/>
        <v/>
      </c>
      <c r="AZ11" s="38" t="str">
        <f t="shared" si="23"/>
        <v/>
      </c>
      <c r="BB11" s="93"/>
    </row>
    <row r="12" spans="1:58" ht="15" customHeight="1" x14ac:dyDescent="0.2">
      <c r="B12" s="90"/>
      <c r="C12" s="92"/>
      <c r="D12" s="92"/>
      <c r="E12" s="92"/>
      <c r="F12" s="92"/>
      <c r="G12" s="92"/>
      <c r="H12" s="76"/>
      <c r="I12" s="77"/>
      <c r="J12" s="78" t="str">
        <f t="shared" si="24"/>
        <v/>
      </c>
      <c r="K12" s="79" t="str">
        <f t="shared" si="25"/>
        <v/>
      </c>
      <c r="L12" s="80" t="str">
        <f t="shared" si="26"/>
        <v/>
      </c>
      <c r="M12" s="81" t="str">
        <f>IFERROR(IF(A:A="","",IF(Q12="Beer",SUM(LOOKUP(2,1/(Rates!$B$3:$B$5&lt;=V12)/(Rates!$C$3:$C$5&gt;=V12),Rates!$D$3:$D$5)*(W12/100)*V12),IF(Q12="Refreshment Beverage",SUM(LOOKUP(2,1/(Rates!$B$7:$B$11&lt;=V12)/(Rates!$C$7:$C$11&gt;=V12),Rates!$D$7:$D$11)*(W12/100)*V12)))),"")</f>
        <v/>
      </c>
      <c r="N12" s="81" t="str">
        <f t="shared" si="0"/>
        <v/>
      </c>
      <c r="O12" s="29"/>
      <c r="P12" s="30" t="str">
        <f t="shared" si="1"/>
        <v/>
      </c>
      <c r="Q12" s="65" t="str">
        <f t="shared" si="27"/>
        <v/>
      </c>
      <c r="R12" s="82" t="str">
        <f>IF(A12="","",IF(Q12="Refreshment Beverage",VLOOKUP(VALUE(P12),Rates!G$15:L$19,2,0),VLOOKUP(VALUE(P12),Rates!G$4:L$12,2,0)))</f>
        <v/>
      </c>
      <c r="S12" s="82" t="str">
        <f t="shared" si="2"/>
        <v/>
      </c>
      <c r="T12" s="31" t="str">
        <f t="shared" si="28"/>
        <v/>
      </c>
      <c r="U12" s="82" t="str">
        <f t="shared" si="3"/>
        <v/>
      </c>
      <c r="V12" s="82" t="str">
        <f t="shared" si="4"/>
        <v/>
      </c>
      <c r="W12" s="32" t="str">
        <f t="shared" si="5"/>
        <v/>
      </c>
      <c r="X12" s="33" t="str">
        <f>IF(A:A="","",IF(Q12="Refreshment Beverage",VLOOKUP(P12,Rates!G$15:L$19,6,0)*V12,VLOOKUP(P12,Rates!G$4:L$12,6,0)*V12))</f>
        <v/>
      </c>
      <c r="Y12" s="33" t="str">
        <f t="shared" si="6"/>
        <v/>
      </c>
      <c r="Z12" s="33" t="str">
        <f t="shared" si="7"/>
        <v/>
      </c>
      <c r="AA12" s="83" t="str">
        <f>IF(A:A="","",IF(Q12="Refreshment Beverage","",IF(AND(Q12="Beer",P12=0),SUM(LOOKUP(2,1/(Rates!$B$15:$B$18&lt;=V12)/(Rates!$C$15:$C$18&gt;=V12),Rates!$D$15:$D$18)*V12),VLOOKUP(VALUE(P:P),Rates!A:B,2,0)*V12)))</f>
        <v/>
      </c>
      <c r="AB12" s="83" t="str">
        <f>IF(A:A="","",IF(Q12="Refreshment Beverage","",IF(AND(Q12="Beer",P12=0),SUM(LOOKUP(2,1/(Rates!$B$15:$B$18&lt;=V12)/(Rates!$C$15:$C$18&gt;=V12),Rates!$E$15:$E$18)*V12),VLOOKUP(VALUE(P:P),Rates!A:C,3,0)*V12)))</f>
        <v/>
      </c>
      <c r="AC12" s="84" t="str">
        <f>IFERROR(IF(A:A="","",IF(Q12="Beer","",IF(VALUE(P12)=0,VLOOKUP(VLOOKUP(A:A,#REF!,16,0),Rates!A:E,2,0),VLOOKUP(VALUE(P12),Rates!A$31:B$34,2,0)*V12))),0)</f>
        <v/>
      </c>
      <c r="AD12" s="34" t="str">
        <f t="shared" si="8"/>
        <v/>
      </c>
      <c r="AE12" s="85" t="str">
        <f t="shared" si="9"/>
        <v/>
      </c>
      <c r="AF12" s="35" t="str">
        <f t="shared" si="10"/>
        <v/>
      </c>
      <c r="AG12" s="36" t="str">
        <f t="shared" si="11"/>
        <v/>
      </c>
      <c r="AH12" s="86" t="str">
        <f>IF(AD:AD="","",IF(Q12="Refreshment Beverage",AJ12*(Rates!J$19/100),ROUND(SUM(AG12*(Rates!$J$8/100)),4)))</f>
        <v/>
      </c>
      <c r="AI12" s="37" t="str">
        <f t="shared" si="12"/>
        <v/>
      </c>
      <c r="AJ12" s="38" t="str">
        <f t="shared" si="13"/>
        <v/>
      </c>
      <c r="AK12" s="34" t="str">
        <f t="shared" si="14"/>
        <v/>
      </c>
      <c r="AL12" s="85" t="str">
        <f>IF(AR12="","",IF(Q12="Refreshment Beverage",ROUND(AR12*Rates!K$19,4),ROUND(AN12*(VLOOKUP(VALUE(P12),Rates!G$4:L$12,3,0)),4)))</f>
        <v/>
      </c>
      <c r="AM12" s="39" t="str">
        <f>IF(AR12="","",IF(Q12="Refreshment Beverage",AR12*(Rates!J$19/100),MAX(AL12,AA12)))</f>
        <v/>
      </c>
      <c r="AN12" s="40" t="str">
        <f t="shared" si="15"/>
        <v/>
      </c>
      <c r="AO12" s="40" t="str">
        <f t="shared" si="16"/>
        <v/>
      </c>
      <c r="AP12" s="87" t="str">
        <f>IF(AR12="","",IF(Q12="Refreshment Beverage",ROUND(SUM(VLOOKUP(P:P,Rates!G$15:L$19,3,0)*(AR12-X12-Y12-Z12)),4),ROUND(SUM(Rates!$K$8*AR12),4)))</f>
        <v/>
      </c>
      <c r="AQ12" s="86" t="str">
        <f t="shared" si="17"/>
        <v/>
      </c>
      <c r="AR12" s="38" t="str">
        <f t="shared" si="18"/>
        <v/>
      </c>
      <c r="AS12" s="34" t="str">
        <f t="shared" si="19"/>
        <v/>
      </c>
      <c r="AT12" s="85" t="str">
        <f>IF(AW12="","",IF(Q12="Refreshment Beverage",ROUND((AZ12-X12-Y12-Z12)*VLOOKUP(VALUE(P12),Rates!G$15:L$19,3,0),4),ROUND(AV12*(VLOOKUP(VALUE(P12),Rates!G:L,3,0)),4)))</f>
        <v/>
      </c>
      <c r="AU12" s="39" t="str">
        <f t="shared" si="29"/>
        <v/>
      </c>
      <c r="AV12" s="40" t="str">
        <f t="shared" si="20"/>
        <v/>
      </c>
      <c r="AW12" s="36" t="str">
        <f t="shared" si="21"/>
        <v/>
      </c>
      <c r="AX12" s="87" t="str">
        <f>IF(AW12="","",IF(Q12="Refreshment Beverage",ROUND(SUM(AW12*Rates!K$19),4),ROUND(SUM(AW12*(Rates!J$8/100)),4)))</f>
        <v/>
      </c>
      <c r="AY12" s="37" t="str">
        <f t="shared" si="22"/>
        <v/>
      </c>
      <c r="AZ12" s="38" t="str">
        <f t="shared" si="23"/>
        <v/>
      </c>
      <c r="BB12" s="93"/>
    </row>
    <row r="13" spans="1:58" ht="15" customHeight="1" x14ac:dyDescent="0.2">
      <c r="B13" s="90"/>
      <c r="C13" s="92"/>
      <c r="D13" s="92"/>
      <c r="E13" s="92"/>
      <c r="F13" s="92"/>
      <c r="G13" s="92"/>
      <c r="H13" s="76"/>
      <c r="I13" s="77"/>
      <c r="J13" s="78" t="str">
        <f t="shared" si="24"/>
        <v/>
      </c>
      <c r="K13" s="79" t="str">
        <f t="shared" si="25"/>
        <v/>
      </c>
      <c r="L13" s="80" t="str">
        <f t="shared" si="26"/>
        <v/>
      </c>
      <c r="M13" s="81" t="str">
        <f>IFERROR(IF(A:A="","",IF(Q13="Beer",SUM(LOOKUP(2,1/(Rates!$B$3:$B$5&lt;=V13)/(Rates!$C$3:$C$5&gt;=V13),Rates!$D$3:$D$5)*(W13/100)*V13),IF(Q13="Refreshment Beverage",SUM(LOOKUP(2,1/(Rates!$B$7:$B$11&lt;=V13)/(Rates!$C$7:$C$11&gt;=V13),Rates!$D$7:$D$11)*(W13/100)*V13)))),"")</f>
        <v/>
      </c>
      <c r="N13" s="81" t="str">
        <f t="shared" si="0"/>
        <v/>
      </c>
      <c r="O13" s="29"/>
      <c r="P13" s="30" t="str">
        <f t="shared" si="1"/>
        <v/>
      </c>
      <c r="Q13" s="65" t="str">
        <f t="shared" si="27"/>
        <v/>
      </c>
      <c r="R13" s="82" t="str">
        <f>IF(A13="","",IF(Q13="Refreshment Beverage",VLOOKUP(VALUE(P13),Rates!G$15:L$19,2,0),VLOOKUP(VALUE(P13),Rates!G$4:L$12,2,0)))</f>
        <v/>
      </c>
      <c r="S13" s="82" t="str">
        <f t="shared" si="2"/>
        <v/>
      </c>
      <c r="T13" s="31" t="str">
        <f t="shared" si="28"/>
        <v/>
      </c>
      <c r="U13" s="82" t="str">
        <f t="shared" si="3"/>
        <v/>
      </c>
      <c r="V13" s="82" t="str">
        <f t="shared" si="4"/>
        <v/>
      </c>
      <c r="W13" s="32" t="str">
        <f t="shared" si="5"/>
        <v/>
      </c>
      <c r="X13" s="33" t="str">
        <f>IF(A:A="","",IF(Q13="Refreshment Beverage",VLOOKUP(P13,Rates!G$15:L$19,6,0)*V13,VLOOKUP(P13,Rates!G$4:L$12,6,0)*V13))</f>
        <v/>
      </c>
      <c r="Y13" s="33" t="str">
        <f t="shared" si="6"/>
        <v/>
      </c>
      <c r="Z13" s="33" t="str">
        <f t="shared" si="7"/>
        <v/>
      </c>
      <c r="AA13" s="83" t="str">
        <f>IF(A:A="","",IF(Q13="Refreshment Beverage","",IF(AND(Q13="Beer",P13=0),SUM(LOOKUP(2,1/(Rates!$B$15:$B$18&lt;=V13)/(Rates!$C$15:$C$18&gt;=V13),Rates!$D$15:$D$18)*V13),VLOOKUP(VALUE(P:P),Rates!A:B,2,0)*V13)))</f>
        <v/>
      </c>
      <c r="AB13" s="83" t="str">
        <f>IF(A:A="","",IF(Q13="Refreshment Beverage","",IF(AND(Q13="Beer",P13=0),SUM(LOOKUP(2,1/(Rates!$B$15:$B$18&lt;=V13)/(Rates!$C$15:$C$18&gt;=V13),Rates!$E$15:$E$18)*V13),VLOOKUP(VALUE(P:P),Rates!A:C,3,0)*V13)))</f>
        <v/>
      </c>
      <c r="AC13" s="84" t="str">
        <f>IFERROR(IF(A:A="","",IF(Q13="Beer","",IF(VALUE(P13)=0,VLOOKUP(VLOOKUP(A:A,#REF!,16,0),Rates!A:E,2,0),VLOOKUP(VALUE(P13),Rates!A$31:B$34,2,0)*V13))),0)</f>
        <v/>
      </c>
      <c r="AD13" s="34" t="str">
        <f t="shared" si="8"/>
        <v/>
      </c>
      <c r="AE13" s="85" t="str">
        <f t="shared" si="9"/>
        <v/>
      </c>
      <c r="AF13" s="35" t="str">
        <f t="shared" si="10"/>
        <v/>
      </c>
      <c r="AG13" s="36" t="str">
        <f t="shared" si="11"/>
        <v/>
      </c>
      <c r="AH13" s="86" t="str">
        <f>IF(AD:AD="","",IF(Q13="Refreshment Beverage",AJ13*(Rates!J$19/100),ROUND(SUM(AG13*(Rates!$J$8/100)),4)))</f>
        <v/>
      </c>
      <c r="AI13" s="37" t="str">
        <f t="shared" si="12"/>
        <v/>
      </c>
      <c r="AJ13" s="38" t="str">
        <f t="shared" si="13"/>
        <v/>
      </c>
      <c r="AK13" s="34" t="str">
        <f t="shared" si="14"/>
        <v/>
      </c>
      <c r="AL13" s="85" t="str">
        <f>IF(AR13="","",IF(Q13="Refreshment Beverage",ROUND(AR13*Rates!K$19,4),ROUND(AN13*(VLOOKUP(VALUE(P13),Rates!G$4:L$12,3,0)),4)))</f>
        <v/>
      </c>
      <c r="AM13" s="39" t="str">
        <f>IF(AR13="","",IF(Q13="Refreshment Beverage",AR13*(Rates!J$19/100),MAX(AL13,AA13)))</f>
        <v/>
      </c>
      <c r="AN13" s="40" t="str">
        <f t="shared" si="15"/>
        <v/>
      </c>
      <c r="AO13" s="40" t="str">
        <f t="shared" ref="AO13:AO17" si="30">IF(AR13="","",IF(Q13="Refreshment Beverage",ROUND(AR13-AM13,2),ROUND(SUM(AR13-AQ13),2)))</f>
        <v/>
      </c>
      <c r="AP13" s="87" t="str">
        <f>IF(AR13="","",IF(Q13="Refreshment Beverage",ROUND(SUM(VLOOKUP(P:P,Rates!G$15:L$19,3,0)*(AR13-X13-Y13-Z13)),4),ROUND(SUM(Rates!$K$8*AR13),4)))</f>
        <v/>
      </c>
      <c r="AQ13" s="86" t="str">
        <f t="shared" ref="AQ13:AQ17" si="31">IF(AR13="","",IF(Q13="Refreshment Beverage",MAX(AC13,AP13),MAX(AP13,AB13)))</f>
        <v/>
      </c>
      <c r="AR13" s="38" t="str">
        <f t="shared" si="18"/>
        <v/>
      </c>
      <c r="AS13" s="34" t="str">
        <f t="shared" si="19"/>
        <v/>
      </c>
      <c r="AT13" s="85" t="str">
        <f>IF(AW13="","",IF(Q13="Refreshment Beverage",ROUND((AZ13-X13-Y13-Z13)*VLOOKUP(VALUE(P13),Rates!G$15:L$19,3,0),4),ROUND(AV13*(VLOOKUP(VALUE(P13),Rates!G:L,3,0)),4)))</f>
        <v/>
      </c>
      <c r="AU13" s="39" t="str">
        <f t="shared" si="29"/>
        <v/>
      </c>
      <c r="AV13" s="40" t="str">
        <f t="shared" si="20"/>
        <v/>
      </c>
      <c r="AW13" s="36" t="str">
        <f t="shared" si="21"/>
        <v/>
      </c>
      <c r="AX13" s="87" t="str">
        <f>IF(AW13="","",IF(Q13="Refreshment Beverage",ROUND(SUM(AW13*Rates!K$19),4),ROUND(SUM(AW13*(Rates!J$8/100)),4)))</f>
        <v/>
      </c>
      <c r="AY13" s="37" t="str">
        <f t="shared" si="22"/>
        <v/>
      </c>
      <c r="AZ13" s="38" t="str">
        <f t="shared" si="23"/>
        <v/>
      </c>
      <c r="BB13" s="93"/>
    </row>
    <row r="14" spans="1:58" ht="15" customHeight="1" x14ac:dyDescent="0.2">
      <c r="B14" s="90"/>
      <c r="C14" s="92"/>
      <c r="D14" s="92"/>
      <c r="E14" s="92"/>
      <c r="F14" s="92"/>
      <c r="G14" s="92"/>
      <c r="H14" s="76"/>
      <c r="I14" s="77"/>
      <c r="J14" s="78" t="str">
        <f t="shared" si="24"/>
        <v/>
      </c>
      <c r="K14" s="79" t="str">
        <f t="shared" si="25"/>
        <v/>
      </c>
      <c r="L14" s="80" t="str">
        <f t="shared" si="26"/>
        <v/>
      </c>
      <c r="M14" s="81" t="str">
        <f>IFERROR(IF(A:A="","",IF(Q14="Beer",SUM(LOOKUP(2,1/(Rates!$B$3:$B$5&lt;=V14)/(Rates!$C$3:$C$5&gt;=V14),Rates!$D$3:$D$5)*(W14/100)*V14),IF(Q14="Refreshment Beverage",SUM(LOOKUP(2,1/(Rates!$B$7:$B$11&lt;=V14)/(Rates!$C$7:$C$11&gt;=V14),Rates!$D$7:$D$11)*(W14/100)*V14)))),"")</f>
        <v/>
      </c>
      <c r="N14" s="81" t="str">
        <f t="shared" si="0"/>
        <v/>
      </c>
      <c r="O14" s="29"/>
      <c r="P14" s="30" t="str">
        <f t="shared" si="1"/>
        <v/>
      </c>
      <c r="Q14" s="65" t="str">
        <f t="shared" si="27"/>
        <v/>
      </c>
      <c r="R14" s="82" t="str">
        <f>IF(A14="","",IF(Q14="Refreshment Beverage",VLOOKUP(VALUE(P14),Rates!G$15:L$19,2,0),VLOOKUP(VALUE(P14),Rates!G$4:L$12,2,0)))</f>
        <v/>
      </c>
      <c r="S14" s="82" t="str">
        <f t="shared" si="2"/>
        <v/>
      </c>
      <c r="T14" s="31" t="str">
        <f t="shared" si="28"/>
        <v/>
      </c>
      <c r="U14" s="82" t="str">
        <f t="shared" si="3"/>
        <v/>
      </c>
      <c r="V14" s="82" t="str">
        <f t="shared" si="4"/>
        <v/>
      </c>
      <c r="W14" s="32" t="str">
        <f t="shared" si="5"/>
        <v/>
      </c>
      <c r="X14" s="33" t="str">
        <f>IF(A:A="","",IF(Q14="Refreshment Beverage",VLOOKUP(P14,Rates!G$15:L$19,6,0)*V14,VLOOKUP(P14,Rates!G$4:L$12,6,0)*V14))</f>
        <v/>
      </c>
      <c r="Y14" s="33" t="str">
        <f t="shared" si="6"/>
        <v/>
      </c>
      <c r="Z14" s="33" t="str">
        <f t="shared" si="7"/>
        <v/>
      </c>
      <c r="AA14" s="83" t="str">
        <f>IF(A:A="","",IF(Q14="Refreshment Beverage","",IF(AND(Q14="Beer",P14=0),SUM(LOOKUP(2,1/(Rates!$B$15:$B$18&lt;=V14)/(Rates!$C$15:$C$18&gt;=V14),Rates!$D$15:$D$18)*V14),VLOOKUP(VALUE(P:P),Rates!A:B,2,0)*V14)))</f>
        <v/>
      </c>
      <c r="AB14" s="83" t="str">
        <f>IF(A:A="","",IF(Q14="Refreshment Beverage","",IF(AND(Q14="Beer",P14=0),SUM(LOOKUP(2,1/(Rates!$B$15:$B$18&lt;=V14)/(Rates!$C$15:$C$18&gt;=V14),Rates!$E$15:$E$18)*V14),VLOOKUP(VALUE(P:P),Rates!A:C,3,0)*V14)))</f>
        <v/>
      </c>
      <c r="AC14" s="84" t="str">
        <f>IFERROR(IF(A:A="","",IF(Q14="Beer","",IF(VALUE(P14)=0,VLOOKUP(VLOOKUP(A:A,#REF!,16,0),Rates!A:E,2,0),VLOOKUP(VALUE(P14),Rates!A$31:B$34,2,0)*V14))),0)</f>
        <v/>
      </c>
      <c r="AD14" s="34" t="str">
        <f t="shared" si="8"/>
        <v/>
      </c>
      <c r="AE14" s="85" t="str">
        <f t="shared" si="9"/>
        <v/>
      </c>
      <c r="AF14" s="35" t="str">
        <f t="shared" si="10"/>
        <v/>
      </c>
      <c r="AG14" s="36" t="str">
        <f t="shared" si="11"/>
        <v/>
      </c>
      <c r="AH14" s="86" t="str">
        <f>IF(AD:AD="","",IF(Q14="Refreshment Beverage",AJ14*(Rates!J$19/100),ROUND(SUM(AG14*(Rates!$J$8/100)),4)))</f>
        <v/>
      </c>
      <c r="AI14" s="37" t="str">
        <f t="shared" si="12"/>
        <v/>
      </c>
      <c r="AJ14" s="38" t="str">
        <f t="shared" si="13"/>
        <v/>
      </c>
      <c r="AK14" s="34" t="str">
        <f t="shared" si="14"/>
        <v/>
      </c>
      <c r="AL14" s="85" t="str">
        <f>IF(AR14="","",IF(Q14="Refreshment Beverage",ROUND(AR14*Rates!K$19,4),ROUND(AN14*(VLOOKUP(VALUE(P14),Rates!G$4:L$12,3,0)),4)))</f>
        <v/>
      </c>
      <c r="AM14" s="39" t="str">
        <f>IF(AR14="","",IF(Q14="Refreshment Beverage",AR14*(Rates!J$19/100),MAX(AL14,AA14)))</f>
        <v/>
      </c>
      <c r="AN14" s="40" t="str">
        <f t="shared" ref="AN14" si="32">IF(AR14="","",ROUND(SUM(AR14-AQ14-X14-Y14-Z14),4))</f>
        <v/>
      </c>
      <c r="AO14" s="40" t="str">
        <f t="shared" ref="AO14" si="33">IF(AR14="","",IF(Q14="Refreshment Beverage",ROUND(AR14-AM14,2),ROUND(SUM(AR14-AQ14),2)))</f>
        <v/>
      </c>
      <c r="AP14" s="87" t="str">
        <f>IF(AR14="","",IF(Q14="Refreshment Beverage",ROUND(SUM(VLOOKUP(P:P,Rates!G$15:L$19,3,0)*(AR14-X14-Y14-Z14)),4),ROUND(SUM(Rates!$K$8*AR14),4)))</f>
        <v/>
      </c>
      <c r="AQ14" s="86" t="str">
        <f t="shared" ref="AQ14" si="34">IF(AR14="","",IF(Q14="Refreshment Beverage",MAX(AC14,AP14),MAX(AP14,AB14)))</f>
        <v/>
      </c>
      <c r="AR14" s="38" t="str">
        <f t="shared" si="18"/>
        <v/>
      </c>
      <c r="AS14" s="34" t="str">
        <f t="shared" ref="AS14" si="35">IF(AW14="","",IF(Q14="Refreshment Beverage",SUM(AZ14-AU14-X14-Y14-Z14),SUM(AW14-AU14-X14-Y14-Z14)))</f>
        <v/>
      </c>
      <c r="AT14" s="85" t="str">
        <f>IF(AW14="","",IF(Q14="Refreshment Beverage",ROUND((AZ14-X14-Y14-Z14)*VLOOKUP(VALUE(P14),Rates!G$15:L$19,3,0),4),ROUND(AV14*(VLOOKUP(VALUE(P14),Rates!G:L,3,0)),4)))</f>
        <v/>
      </c>
      <c r="AU14" s="39" t="str">
        <f t="shared" si="29"/>
        <v/>
      </c>
      <c r="AV14" s="40" t="str">
        <f t="shared" ref="AV14" si="36">IF(AW14="","",IF(Q14="Refreshment Beverage",SUM(AZ14-AU14-X14-Y14-Z14),ROUND(SUM(AZ14-AY14-X14-Y14-Z14),4)))</f>
        <v/>
      </c>
      <c r="AW14" s="36" t="str">
        <f t="shared" si="21"/>
        <v/>
      </c>
      <c r="AX14" s="87" t="str">
        <f>IF(AW14="","",IF(Q14="Refreshment Beverage",ROUND(SUM(AW14*Rates!K$19),4),ROUND(SUM(AW14*(Rates!J$8/100)),4)))</f>
        <v/>
      </c>
      <c r="AY14" s="37" t="str">
        <f t="shared" ref="AY14" si="37">IF(AW14="","",MAX($AB14,AX14))</f>
        <v/>
      </c>
      <c r="AZ14" s="38" t="str">
        <f t="shared" ref="AZ14" si="38">IF(AW14="","",SUM(AW14+AY14))</f>
        <v/>
      </c>
      <c r="BB14" s="93"/>
    </row>
    <row r="15" spans="1:58" ht="15" customHeight="1" x14ac:dyDescent="0.2">
      <c r="B15" s="90"/>
      <c r="C15" s="92"/>
      <c r="D15" s="92"/>
      <c r="E15" s="92"/>
      <c r="F15" s="92"/>
      <c r="G15" s="92"/>
      <c r="H15" s="76"/>
      <c r="I15" s="77"/>
      <c r="J15" s="78" t="str">
        <f t="shared" si="24"/>
        <v/>
      </c>
      <c r="K15" s="79" t="str">
        <f t="shared" si="25"/>
        <v/>
      </c>
      <c r="L15" s="80" t="str">
        <f t="shared" si="26"/>
        <v/>
      </c>
      <c r="M15" s="81" t="str">
        <f>IFERROR(IF(A:A="","",IF(Q15="Beer",SUM(LOOKUP(2,1/(Rates!$B$3:$B$5&lt;=V15)/(Rates!$C$3:$C$5&gt;=V15),Rates!$D$3:$D$5)*(W15/100)*V15),IF(Q15="Refreshment Beverage",SUM(LOOKUP(2,1/(Rates!$B$7:$B$11&lt;=V15)/(Rates!$C$7:$C$11&gt;=V15),Rates!$D$7:$D$11)*(W15/100)*V15)))),"")</f>
        <v/>
      </c>
      <c r="N15" s="81" t="str">
        <f t="shared" si="0"/>
        <v/>
      </c>
      <c r="O15" s="29"/>
      <c r="P15" s="30" t="str">
        <f t="shared" si="1"/>
        <v/>
      </c>
      <c r="Q15" s="65" t="str">
        <f t="shared" si="27"/>
        <v/>
      </c>
      <c r="R15" s="82" t="str">
        <f>IF(A15="","",IF(Q15="Refreshment Beverage",VLOOKUP(VALUE(P15),Rates!G$15:L$19,2,0),VLOOKUP(VALUE(P15),Rates!G$4:L$12,2,0)))</f>
        <v/>
      </c>
      <c r="S15" s="82" t="str">
        <f t="shared" si="2"/>
        <v/>
      </c>
      <c r="T15" s="31" t="str">
        <f t="shared" si="28"/>
        <v/>
      </c>
      <c r="U15" s="82" t="str">
        <f t="shared" si="3"/>
        <v/>
      </c>
      <c r="V15" s="82" t="str">
        <f t="shared" si="4"/>
        <v/>
      </c>
      <c r="W15" s="32" t="str">
        <f t="shared" si="5"/>
        <v/>
      </c>
      <c r="X15" s="33" t="str">
        <f>IF(A:A="","",IF(Q15="Refreshment Beverage",VLOOKUP(P15,Rates!G$15:L$19,6,0)*V15,VLOOKUP(P15,Rates!G$4:L$12,6,0)*V15))</f>
        <v/>
      </c>
      <c r="Y15" s="33" t="str">
        <f t="shared" si="6"/>
        <v/>
      </c>
      <c r="Z15" s="33" t="str">
        <f t="shared" si="7"/>
        <v/>
      </c>
      <c r="AA15" s="83" t="str">
        <f>IF(A:A="","",IF(Q15="Refreshment Beverage","",IF(AND(Q15="Beer",P15=0),SUM(LOOKUP(2,1/(Rates!$B$15:$B$18&lt;=V15)/(Rates!$C$15:$C$18&gt;=V15),Rates!$D$15:$D$18)*V15),VLOOKUP(VALUE(P:P),Rates!A:B,2,0)*V15)))</f>
        <v/>
      </c>
      <c r="AB15" s="83" t="str">
        <f>IF(A:A="","",IF(Q15="Refreshment Beverage","",IF(AND(Q15="Beer",P15=0),SUM(LOOKUP(2,1/(Rates!$B$15:$B$18&lt;=V15)/(Rates!$C$15:$C$18&gt;=V15),Rates!$E$15:$E$18)*V15),VLOOKUP(VALUE(P:P),Rates!A:C,3,0)*V15)))</f>
        <v/>
      </c>
      <c r="AC15" s="84" t="str">
        <f>IFERROR(IF(A:A="","",IF(Q15="Beer","",IF(VALUE(P15)=0,VLOOKUP(VLOOKUP(A:A,#REF!,16,0),Rates!A:E,2,0),VLOOKUP(VALUE(P15),Rates!A$31:B$34,2,0)*V15))),0)</f>
        <v/>
      </c>
      <c r="AD15" s="34" t="str">
        <f t="shared" si="8"/>
        <v/>
      </c>
      <c r="AE15" s="85" t="str">
        <f t="shared" si="9"/>
        <v/>
      </c>
      <c r="AF15" s="35" t="str">
        <f t="shared" si="10"/>
        <v/>
      </c>
      <c r="AG15" s="36" t="str">
        <f t="shared" si="11"/>
        <v/>
      </c>
      <c r="AH15" s="86" t="str">
        <f>IF(AD:AD="","",IF(Q15="Refreshment Beverage",AJ15*(Rates!J$19/100),ROUND(SUM(AG15*(Rates!$J$8/100)),4)))</f>
        <v/>
      </c>
      <c r="AI15" s="37" t="str">
        <f t="shared" si="12"/>
        <v/>
      </c>
      <c r="AJ15" s="38" t="str">
        <f t="shared" si="13"/>
        <v/>
      </c>
      <c r="AK15" s="34" t="str">
        <f t="shared" si="14"/>
        <v/>
      </c>
      <c r="AL15" s="85" t="str">
        <f>IF(AR15="","",IF(Q15="Refreshment Beverage",ROUND(AR15*Rates!K$19,4),ROUND(AN15*(VLOOKUP(VALUE(P15),Rates!G$4:L$12,3,0)),4)))</f>
        <v/>
      </c>
      <c r="AM15" s="39" t="str">
        <f>IF(AR15="","",IF(Q15="Refreshment Beverage",AR15*(Rates!J$19/100),MAX(AL15,AA15)))</f>
        <v/>
      </c>
      <c r="AN15" s="40" t="str">
        <f>IF(AR15="","",ROUND(SUM(AR15-AQ15-X15-Y15-Z15),4))</f>
        <v/>
      </c>
      <c r="AO15" s="40" t="str">
        <f t="shared" si="30"/>
        <v/>
      </c>
      <c r="AP15" s="87" t="str">
        <f>IF(AR15="","",IF(Q15="Refreshment Beverage",ROUND(SUM(VLOOKUP(P:P,Rates!G$15:L$19,3,0)*(AR15-X15-Y15-Z15)),4),ROUND(SUM(Rates!$K$8*AR15),4)))</f>
        <v/>
      </c>
      <c r="AQ15" s="86" t="str">
        <f t="shared" si="31"/>
        <v/>
      </c>
      <c r="AR15" s="38" t="str">
        <f t="shared" si="18"/>
        <v/>
      </c>
      <c r="AS15" s="34" t="str">
        <f>IF(AW15="","",IF(Q15="Refreshment Beverage",SUM(AZ15-AU15-X15-Y15-Z15),SUM(AW15-AU15-X15-Y15-Z15)))</f>
        <v/>
      </c>
      <c r="AT15" s="85" t="str">
        <f>IF(AW15="","",IF(Q15="Refreshment Beverage",ROUND((AZ15-X15-Y15-Z15)*VLOOKUP(VALUE(P15),Rates!G$15:L$19,3,0),4),ROUND(AV15*(VLOOKUP(VALUE(P15),Rates!G:L,3,0)),4)))</f>
        <v/>
      </c>
      <c r="AU15" s="39" t="str">
        <f t="shared" si="29"/>
        <v/>
      </c>
      <c r="AV15" s="40" t="str">
        <f>IF(AW15="","",IF(Q15="Refreshment Beverage",SUM(AZ15-AU15-X15-Y15-Z15),ROUND(SUM(AZ15-AY15-X15-Y15-Z15),4)))</f>
        <v/>
      </c>
      <c r="AW15" s="36" t="str">
        <f t="shared" si="21"/>
        <v/>
      </c>
      <c r="AX15" s="87" t="str">
        <f>IF(AW15="","",IF(Q15="Refreshment Beverage",ROUND(SUM(AW15*Rates!K$19),4),ROUND(SUM(AW15*(Rates!J$8/100)),4)))</f>
        <v/>
      </c>
      <c r="AY15" s="37" t="str">
        <f t="shared" ref="AY15:AY25" si="39">IF(AW15="","",MAX($AB15,AX15))</f>
        <v/>
      </c>
      <c r="AZ15" s="38" t="str">
        <f t="shared" ref="AZ15" si="40">IF(AW15="","",SUM(AW15+AY15))</f>
        <v/>
      </c>
      <c r="BB15" s="93"/>
    </row>
    <row r="16" spans="1:58" ht="15" customHeight="1" x14ac:dyDescent="0.2">
      <c r="B16" s="90"/>
      <c r="C16" s="92"/>
      <c r="D16" s="92"/>
      <c r="E16" s="92"/>
      <c r="F16" s="92"/>
      <c r="G16" s="92"/>
      <c r="H16" s="76"/>
      <c r="I16" s="77"/>
      <c r="J16" s="78" t="str">
        <f t="shared" si="24"/>
        <v/>
      </c>
      <c r="K16" s="79" t="str">
        <f t="shared" si="25"/>
        <v/>
      </c>
      <c r="L16" s="80" t="str">
        <f t="shared" si="26"/>
        <v/>
      </c>
      <c r="M16" s="81" t="str">
        <f>IFERROR(IF(A:A="","",IF(Q16="Beer",SUM(LOOKUP(2,1/(Rates!$B$3:$B$5&lt;=V16)/(Rates!$C$3:$C$5&gt;=V16),Rates!$D$3:$D$5)*(W16/100)*V16),IF(Q16="Refreshment Beverage",SUM(LOOKUP(2,1/(Rates!$B$7:$B$11&lt;=V16)/(Rates!$C$7:$C$11&gt;=V16),Rates!$D$7:$D$11)*(W16/100)*V16)))),"")</f>
        <v/>
      </c>
      <c r="N16" s="81" t="str">
        <f t="shared" si="0"/>
        <v/>
      </c>
      <c r="O16" s="29"/>
      <c r="P16" s="30" t="str">
        <f t="shared" si="1"/>
        <v/>
      </c>
      <c r="Q16" s="65" t="str">
        <f t="shared" si="27"/>
        <v/>
      </c>
      <c r="R16" s="82" t="str">
        <f>IF(A16="","",IF(Q16="Refreshment Beverage",VLOOKUP(VALUE(P16),Rates!G$15:L$19,2,0),VLOOKUP(VALUE(P16),Rates!G$4:L$12,2,0)))</f>
        <v/>
      </c>
      <c r="S16" s="82" t="str">
        <f t="shared" si="2"/>
        <v/>
      </c>
      <c r="T16" s="31" t="str">
        <f t="shared" si="28"/>
        <v/>
      </c>
      <c r="U16" s="82" t="str">
        <f t="shared" si="3"/>
        <v/>
      </c>
      <c r="V16" s="82" t="str">
        <f t="shared" si="4"/>
        <v/>
      </c>
      <c r="W16" s="32" t="str">
        <f t="shared" si="5"/>
        <v/>
      </c>
      <c r="X16" s="33" t="str">
        <f>IF(A:A="","",IF(Q16="Refreshment Beverage",VLOOKUP(P16,Rates!G$15:L$19,6,0)*V16,VLOOKUP(P16,Rates!G$4:L$12,6,0)*V16))</f>
        <v/>
      </c>
      <c r="Y16" s="33" t="str">
        <f t="shared" si="6"/>
        <v/>
      </c>
      <c r="Z16" s="33" t="str">
        <f t="shared" si="7"/>
        <v/>
      </c>
      <c r="AA16" s="83" t="str">
        <f>IF(A:A="","",IF(Q16="Refreshment Beverage","",IF(AND(Q16="Beer",P16=0),SUM(LOOKUP(2,1/(Rates!$B$15:$B$18&lt;=V16)/(Rates!$C$15:$C$18&gt;=V16),Rates!$D$15:$D$18)*V16),VLOOKUP(VALUE(P:P),Rates!A:B,2,0)*V16)))</f>
        <v/>
      </c>
      <c r="AB16" s="83" t="str">
        <f>IF(A:A="","",IF(Q16="Refreshment Beverage","",IF(AND(Q16="Beer",P16=0),SUM(LOOKUP(2,1/(Rates!$B$15:$B$18&lt;=V16)/(Rates!$C$15:$C$18&gt;=V16),Rates!$E$15:$E$18)*V16),VLOOKUP(VALUE(P:P),Rates!A:C,3,0)*V16)))</f>
        <v/>
      </c>
      <c r="AC16" s="84" t="str">
        <f>IFERROR(IF(A:A="","",IF(Q16="Beer","",IF(VALUE(P16)=0,VLOOKUP(VLOOKUP(A:A,#REF!,16,0),Rates!A:E,2,0),VLOOKUP(VALUE(P16),Rates!A$31:B$34,2,0)*V16))),0)</f>
        <v/>
      </c>
      <c r="AD16" s="34" t="str">
        <f t="shared" si="8"/>
        <v/>
      </c>
      <c r="AE16" s="85" t="str">
        <f t="shared" si="9"/>
        <v/>
      </c>
      <c r="AF16" s="35" t="str">
        <f t="shared" si="10"/>
        <v/>
      </c>
      <c r="AG16" s="36" t="str">
        <f t="shared" si="11"/>
        <v/>
      </c>
      <c r="AH16" s="86" t="str">
        <f>IF(AD:AD="","",IF(Q16="Refreshment Beverage",AJ16*(Rates!J$19/100),ROUND(SUM(AG16*(Rates!$J$8/100)),4)))</f>
        <v/>
      </c>
      <c r="AI16" s="37" t="str">
        <f t="shared" si="12"/>
        <v/>
      </c>
      <c r="AJ16" s="38" t="str">
        <f t="shared" si="13"/>
        <v/>
      </c>
      <c r="AK16" s="34" t="str">
        <f t="shared" si="14"/>
        <v/>
      </c>
      <c r="AL16" s="85" t="str">
        <f>IF(AR16="","",IF(Q16="Refreshment Beverage",ROUND(AR16*Rates!K$19,4),ROUND(AN16*(VLOOKUP(VALUE(P16),Rates!G$4:L$12,3,0)),4)))</f>
        <v/>
      </c>
      <c r="AM16" s="39" t="str">
        <f>IF(AR16="","",IF(Q16="Refreshment Beverage",AR16*(Rates!J$19/100),MAX(AL16,AA16)))</f>
        <v/>
      </c>
      <c r="AN16" s="40" t="str">
        <f t="shared" ref="AN16:AN25" si="41">IF(AR16="","",ROUND(SUM(AR16-AQ16-X16-Y16-Z16),4))</f>
        <v/>
      </c>
      <c r="AO16" s="40" t="str">
        <f t="shared" si="30"/>
        <v/>
      </c>
      <c r="AP16" s="87" t="str">
        <f>IF(AR16="","",IF(Q16="Refreshment Beverage",ROUND(SUM(VLOOKUP(P:P,Rates!G$15:L$19,3,0)*(AR16-X16-Y16-Z16)),4),ROUND(SUM(Rates!$K$8*AR16),4)))</f>
        <v/>
      </c>
      <c r="AQ16" s="86" t="str">
        <f t="shared" si="31"/>
        <v/>
      </c>
      <c r="AR16" s="38" t="str">
        <f t="shared" si="18"/>
        <v/>
      </c>
      <c r="AS16" s="34" t="str">
        <f t="shared" ref="AS16:AS25" si="42">IF(AW16="","",IF(Q16="Refreshment Beverage",SUM(AZ16-AU16-X16-Y16-Z16),SUM(AW16-AU16-X16-Y16-Z16)))</f>
        <v/>
      </c>
      <c r="AT16" s="85" t="str">
        <f>IF(AW16="","",IF(Q16="Refreshment Beverage",ROUND((AZ16-X16-Y16-Z16)*VLOOKUP(VALUE(P16),Rates!G$15:L$19,3,0),4),ROUND(AV16*(VLOOKUP(VALUE(P16),Rates!G:L,3,0)),4)))</f>
        <v/>
      </c>
      <c r="AU16" s="39" t="str">
        <f t="shared" si="29"/>
        <v/>
      </c>
      <c r="AV16" s="40" t="str">
        <f t="shared" ref="AV16:AV25" si="43">IF(AW16="","",IF(Q16="Refreshment Beverage",SUM(AZ16-AU16-X16-Y16-Z16),ROUND(SUM(AZ16-AY16-X16-Y16-Z16),4)))</f>
        <v/>
      </c>
      <c r="AW16" s="36" t="str">
        <f t="shared" si="21"/>
        <v/>
      </c>
      <c r="AX16" s="87" t="str">
        <f>IF(AW16="","",IF(Q16="Refreshment Beverage",ROUND(SUM(AW16*Rates!K$19),4),ROUND(SUM(AW16*(Rates!J$8/100)),4)))</f>
        <v/>
      </c>
      <c r="AY16" s="37" t="str">
        <f t="shared" si="39"/>
        <v/>
      </c>
      <c r="AZ16" s="38" t="str">
        <f t="shared" ref="AZ16:AZ25" si="44">IF(AW16="","",SUM(AW16+AY16))</f>
        <v/>
      </c>
      <c r="BB16" s="93"/>
    </row>
    <row r="17" spans="1:58" ht="15" customHeight="1" x14ac:dyDescent="0.2">
      <c r="B17" s="90"/>
      <c r="C17" s="92"/>
      <c r="D17" s="92"/>
      <c r="E17" s="92"/>
      <c r="F17" s="92"/>
      <c r="G17" s="92"/>
      <c r="H17" s="76"/>
      <c r="I17" s="77"/>
      <c r="J17" s="78" t="str">
        <f t="shared" si="24"/>
        <v/>
      </c>
      <c r="K17" s="79" t="str">
        <f t="shared" si="25"/>
        <v/>
      </c>
      <c r="L17" s="80" t="str">
        <f t="shared" si="26"/>
        <v/>
      </c>
      <c r="M17" s="81" t="str">
        <f>IFERROR(IF(A:A="","",IF(Q17="Beer",SUM(LOOKUP(2,1/(Rates!$B$3:$B$5&lt;=V17)/(Rates!$C$3:$C$5&gt;=V17),Rates!$D$3:$D$5)*(W17/100)*V17),IF(Q17="Refreshment Beverage",SUM(LOOKUP(2,1/(Rates!$B$7:$B$11&lt;=V17)/(Rates!$C$7:$C$11&gt;=V17),Rates!$D$7:$D$11)*(W17/100)*V17)))),"")</f>
        <v/>
      </c>
      <c r="N17" s="81" t="str">
        <f t="shared" si="0"/>
        <v/>
      </c>
      <c r="O17" s="29"/>
      <c r="P17" s="30" t="str">
        <f t="shared" si="1"/>
        <v/>
      </c>
      <c r="Q17" s="65" t="str">
        <f t="shared" si="27"/>
        <v/>
      </c>
      <c r="R17" s="82" t="str">
        <f>IF(A17="","",IF(Q17="Refreshment Beverage",VLOOKUP(VALUE(P17),Rates!G$15:L$19,2,0),VLOOKUP(VALUE(P17),Rates!G$4:L$12,2,0)))</f>
        <v/>
      </c>
      <c r="S17" s="82" t="str">
        <f t="shared" si="2"/>
        <v/>
      </c>
      <c r="T17" s="31" t="str">
        <f t="shared" si="28"/>
        <v/>
      </c>
      <c r="U17" s="82" t="str">
        <f t="shared" si="3"/>
        <v/>
      </c>
      <c r="V17" s="82" t="str">
        <f t="shared" si="4"/>
        <v/>
      </c>
      <c r="W17" s="32" t="str">
        <f t="shared" si="5"/>
        <v/>
      </c>
      <c r="X17" s="33" t="str">
        <f>IF(A:A="","",IF(Q17="Refreshment Beverage",VLOOKUP(P17,Rates!G$15:L$19,6,0)*V17,VLOOKUP(P17,Rates!G$4:L$12,6,0)*V17))</f>
        <v/>
      </c>
      <c r="Y17" s="33" t="str">
        <f t="shared" si="6"/>
        <v/>
      </c>
      <c r="Z17" s="33" t="str">
        <f t="shared" si="7"/>
        <v/>
      </c>
      <c r="AA17" s="83" t="str">
        <f>IF(A:A="","",IF(Q17="Refreshment Beverage","",IF(AND(Q17="Beer",P17=0),SUM(LOOKUP(2,1/(Rates!$B$15:$B$18&lt;=V17)/(Rates!$C$15:$C$18&gt;=V17),Rates!$D$15:$D$18)*V17),VLOOKUP(VALUE(P:P),Rates!A:B,2,0)*V17)))</f>
        <v/>
      </c>
      <c r="AB17" s="83" t="str">
        <f>IF(A:A="","",IF(Q17="Refreshment Beverage","",IF(AND(Q17="Beer",P17=0),SUM(LOOKUP(2,1/(Rates!$B$15:$B$18&lt;=V17)/(Rates!$C$15:$C$18&gt;=V17),Rates!$E$15:$E$18)*V17),VLOOKUP(VALUE(P:P),Rates!A:C,3,0)*V17)))</f>
        <v/>
      </c>
      <c r="AC17" s="84" t="str">
        <f>IFERROR(IF(A:A="","",IF(Q17="Beer","",IF(VALUE(P17)=0,VLOOKUP(VLOOKUP(A:A,#REF!,16,0),Rates!A:E,2,0),VLOOKUP(VALUE(P17),Rates!A$31:B$34,2,0)*V17))),0)</f>
        <v/>
      </c>
      <c r="AD17" s="34" t="str">
        <f t="shared" si="8"/>
        <v/>
      </c>
      <c r="AE17" s="85" t="str">
        <f t="shared" si="9"/>
        <v/>
      </c>
      <c r="AF17" s="35" t="str">
        <f t="shared" si="10"/>
        <v/>
      </c>
      <c r="AG17" s="36" t="str">
        <f t="shared" si="11"/>
        <v/>
      </c>
      <c r="AH17" s="86" t="str">
        <f>IF(AD:AD="","",IF(Q17="Refreshment Beverage",AJ17*(Rates!J$19/100),ROUND(SUM(AG17*(Rates!$J$8/100)),4)))</f>
        <v/>
      </c>
      <c r="AI17" s="37" t="str">
        <f t="shared" si="12"/>
        <v/>
      </c>
      <c r="AJ17" s="38" t="str">
        <f t="shared" si="13"/>
        <v/>
      </c>
      <c r="AK17" s="34" t="str">
        <f t="shared" si="14"/>
        <v/>
      </c>
      <c r="AL17" s="85" t="str">
        <f>IF(AR17="","",IF(Q17="Refreshment Beverage",ROUND(AR17*Rates!K$19,4),ROUND(AN17*(VLOOKUP(VALUE(P17),Rates!G$4:L$12,3,0)),4)))</f>
        <v/>
      </c>
      <c r="AM17" s="39" t="str">
        <f>IF(AR17="","",IF(Q17="Refreshment Beverage",AR17*(Rates!J$19/100),MAX(AL17,AA17)))</f>
        <v/>
      </c>
      <c r="AN17" s="40" t="str">
        <f t="shared" si="41"/>
        <v/>
      </c>
      <c r="AO17" s="40" t="str">
        <f t="shared" si="30"/>
        <v/>
      </c>
      <c r="AP17" s="87" t="str">
        <f>IF(AR17="","",IF(Q17="Refreshment Beverage",ROUND(SUM(VLOOKUP(P:P,Rates!G$15:L$19,3,0)*(AR17-X17-Y17-Z17)),4),ROUND(SUM(Rates!$K$8*AR17),4)))</f>
        <v/>
      </c>
      <c r="AQ17" s="86" t="str">
        <f t="shared" si="31"/>
        <v/>
      </c>
      <c r="AR17" s="38" t="str">
        <f t="shared" si="18"/>
        <v/>
      </c>
      <c r="AS17" s="34" t="str">
        <f t="shared" si="42"/>
        <v/>
      </c>
      <c r="AT17" s="85" t="str">
        <f>IF(AW17="","",IF(Q17="Refreshment Beverage",ROUND((AZ17-X17-Y17-Z17)*VLOOKUP(VALUE(P17),Rates!G$15:L$19,3,0),4),ROUND(AV17*(VLOOKUP(VALUE(P17),Rates!G:L,3,0)),4)))</f>
        <v/>
      </c>
      <c r="AU17" s="39" t="str">
        <f t="shared" si="29"/>
        <v/>
      </c>
      <c r="AV17" s="40" t="str">
        <f t="shared" si="43"/>
        <v/>
      </c>
      <c r="AW17" s="36" t="str">
        <f t="shared" si="21"/>
        <v/>
      </c>
      <c r="AX17" s="87" t="str">
        <f>IF(AW17="","",IF(Q17="Refreshment Beverage",ROUND(SUM(AW17*Rates!K$19),4),ROUND(SUM(AW17*(Rates!J$8/100)),4)))</f>
        <v/>
      </c>
      <c r="AY17" s="37" t="str">
        <f t="shared" si="39"/>
        <v/>
      </c>
      <c r="AZ17" s="38" t="str">
        <f t="shared" si="44"/>
        <v/>
      </c>
      <c r="BB17" s="93"/>
    </row>
    <row r="18" spans="1:58" ht="15" customHeight="1" x14ac:dyDescent="0.2">
      <c r="B18" s="90"/>
      <c r="C18" s="92"/>
      <c r="D18" s="92"/>
      <c r="E18" s="92"/>
      <c r="F18" s="92"/>
      <c r="G18" s="92"/>
      <c r="H18" s="76"/>
      <c r="I18" s="77"/>
      <c r="J18" s="78" t="str">
        <f t="shared" si="24"/>
        <v/>
      </c>
      <c r="K18" s="79" t="str">
        <f t="shared" si="25"/>
        <v/>
      </c>
      <c r="L18" s="80" t="str">
        <f t="shared" si="26"/>
        <v/>
      </c>
      <c r="M18" s="81" t="str">
        <f>IFERROR(IF(A:A="","",IF(Q18="Beer",SUM(LOOKUP(2,1/(Rates!$B$3:$B$5&lt;=V18)/(Rates!$C$3:$C$5&gt;=V18),Rates!$D$3:$D$5)*(W18/100)*V18),IF(Q18="Refreshment Beverage",SUM(LOOKUP(2,1/(Rates!$B$7:$B$11&lt;=V18)/(Rates!$C$7:$C$11&gt;=V18),Rates!$D$7:$D$11)*(W18/100)*V18)))),"")</f>
        <v/>
      </c>
      <c r="N18" s="81" t="str">
        <f t="shared" si="0"/>
        <v/>
      </c>
      <c r="O18" s="29"/>
      <c r="P18" s="30" t="str">
        <f t="shared" si="1"/>
        <v/>
      </c>
      <c r="Q18" s="65" t="str">
        <f t="shared" si="27"/>
        <v/>
      </c>
      <c r="R18" s="82" t="str">
        <f>IF(A18="","",IF(Q18="Refreshment Beverage",VLOOKUP(VALUE(P18),Rates!G$15:L$19,2,0),VLOOKUP(VALUE(P18),Rates!G$4:L$12,2,0)))</f>
        <v/>
      </c>
      <c r="S18" s="82" t="str">
        <f t="shared" si="2"/>
        <v/>
      </c>
      <c r="T18" s="31" t="str">
        <f t="shared" si="28"/>
        <v/>
      </c>
      <c r="U18" s="82" t="str">
        <f t="shared" si="3"/>
        <v/>
      </c>
      <c r="V18" s="82" t="str">
        <f t="shared" si="4"/>
        <v/>
      </c>
      <c r="W18" s="32" t="str">
        <f t="shared" si="5"/>
        <v/>
      </c>
      <c r="X18" s="33" t="str">
        <f>IF(A:A="","",IF(Q18="Refreshment Beverage",VLOOKUP(P18,Rates!G$15:L$19,6,0)*V18,VLOOKUP(P18,Rates!G$4:L$12,6,0)*V18))</f>
        <v/>
      </c>
      <c r="Y18" s="33" t="str">
        <f t="shared" si="6"/>
        <v/>
      </c>
      <c r="Z18" s="33" t="str">
        <f t="shared" si="7"/>
        <v/>
      </c>
      <c r="AA18" s="83" t="str">
        <f>IF(A:A="","",IF(Q18="Refreshment Beverage","",IF(AND(Q18="Beer",P18=0),SUM(LOOKUP(2,1/(Rates!$B$15:$B$18&lt;=V18)/(Rates!$C$15:$C$18&gt;=V18),Rates!$D$15:$D$18)*V18),VLOOKUP(VALUE(P:P),Rates!A:B,2,0)*V18)))</f>
        <v/>
      </c>
      <c r="AB18" s="83" t="str">
        <f>IF(A:A="","",IF(Q18="Refreshment Beverage","",IF(AND(Q18="Beer",P18=0),SUM(LOOKUP(2,1/(Rates!$B$15:$B$18&lt;=V18)/(Rates!$C$15:$C$18&gt;=V18),Rates!$E$15:$E$18)*V18),VLOOKUP(VALUE(P:P),Rates!A:C,3,0)*V18)))</f>
        <v/>
      </c>
      <c r="AC18" s="84" t="str">
        <f>IFERROR(IF(A:A="","",IF(Q18="Beer","",IF(VALUE(P18)=0,VLOOKUP(VLOOKUP(A:A,#REF!,16,0),Rates!A:E,2,0),VLOOKUP(VALUE(P18),Rates!A$31:B$34,2,0)*V18))),0)</f>
        <v/>
      </c>
      <c r="AD18" s="34" t="str">
        <f t="shared" si="8"/>
        <v/>
      </c>
      <c r="AE18" s="85" t="str">
        <f t="shared" si="9"/>
        <v/>
      </c>
      <c r="AF18" s="35" t="str">
        <f t="shared" si="10"/>
        <v/>
      </c>
      <c r="AG18" s="36" t="str">
        <f t="shared" si="11"/>
        <v/>
      </c>
      <c r="AH18" s="86" t="str">
        <f>IF(AD:AD="","",IF(Q18="Refreshment Beverage",AJ18*(Rates!J$19/100),ROUND(SUM(AG18*(Rates!$J$8/100)),4)))</f>
        <v/>
      </c>
      <c r="AI18" s="37" t="str">
        <f t="shared" si="12"/>
        <v/>
      </c>
      <c r="AJ18" s="38" t="str">
        <f t="shared" si="13"/>
        <v/>
      </c>
      <c r="AK18" s="34" t="str">
        <f t="shared" si="14"/>
        <v/>
      </c>
      <c r="AL18" s="85" t="str">
        <f>IF(AR18="","",IF(Q18="Refreshment Beverage",ROUND(AR18*Rates!K$19,4),ROUND(AN18*(VLOOKUP(VALUE(P18),Rates!G$4:L$12,3,0)),4)))</f>
        <v/>
      </c>
      <c r="AM18" s="39" t="str">
        <f>IF(AR18="","",IF(Q18="Refreshment Beverage",AR18*(Rates!J$19/100),MAX(AL18,AA18)))</f>
        <v/>
      </c>
      <c r="AN18" s="40" t="str">
        <f t="shared" si="41"/>
        <v/>
      </c>
      <c r="AO18" s="40" t="str">
        <f t="shared" ref="AO18:AO25" si="45">IF(AR18="","",IF(Q18="Refreshment Beverage",ROUND(AR18-AM18,2),ROUND(SUM(AR18-AQ18),2)))</f>
        <v/>
      </c>
      <c r="AP18" s="87" t="str">
        <f>IF(AR18="","",IF(Q18="Refreshment Beverage",ROUND(SUM(VLOOKUP(P:P,Rates!G$15:L$19,3,0)*(AR18-X18-Y18-Z18)),4),ROUND(SUM(Rates!$K$8*AR18),4)))</f>
        <v/>
      </c>
      <c r="AQ18" s="86" t="str">
        <f t="shared" ref="AQ18:AQ25" si="46">IF(AR18="","",IF(Q18="Refreshment Beverage",MAX(AC18,AP18),MAX(AP18,AB18)))</f>
        <v/>
      </c>
      <c r="AR18" s="38" t="str">
        <f t="shared" si="18"/>
        <v/>
      </c>
      <c r="AS18" s="34" t="str">
        <f t="shared" si="42"/>
        <v/>
      </c>
      <c r="AT18" s="85" t="str">
        <f>IF(AW18="","",IF(Q18="Refreshment Beverage",ROUND((AZ18-X18-Y18-Z18)*VLOOKUP(VALUE(P18),Rates!G$15:L$19,3,0),4),ROUND(AV18*(VLOOKUP(VALUE(P18),Rates!G:L,3,0)),4)))</f>
        <v/>
      </c>
      <c r="AU18" s="39" t="str">
        <f t="shared" si="29"/>
        <v/>
      </c>
      <c r="AV18" s="40" t="str">
        <f t="shared" si="43"/>
        <v/>
      </c>
      <c r="AW18" s="36" t="str">
        <f t="shared" si="21"/>
        <v/>
      </c>
      <c r="AX18" s="87" t="str">
        <f>IF(AW18="","",IF(Q18="Refreshment Beverage",ROUND(SUM(AW18*Rates!K$19),4),ROUND(SUM(AW18*(Rates!J$8/100)),4)))</f>
        <v/>
      </c>
      <c r="AY18" s="37" t="str">
        <f t="shared" si="39"/>
        <v/>
      </c>
      <c r="AZ18" s="38" t="str">
        <f t="shared" si="44"/>
        <v/>
      </c>
      <c r="BB18" s="93"/>
    </row>
    <row r="19" spans="1:58" ht="15" customHeight="1" x14ac:dyDescent="0.2">
      <c r="B19" s="90"/>
      <c r="C19" s="92"/>
      <c r="D19" s="92"/>
      <c r="E19" s="92"/>
      <c r="F19" s="92"/>
      <c r="G19" s="92"/>
      <c r="H19" s="76"/>
      <c r="I19" s="77"/>
      <c r="J19" s="78" t="str">
        <f t="shared" si="24"/>
        <v/>
      </c>
      <c r="K19" s="79" t="str">
        <f t="shared" si="25"/>
        <v/>
      </c>
      <c r="L19" s="80" t="str">
        <f t="shared" si="26"/>
        <v/>
      </c>
      <c r="M19" s="81" t="str">
        <f>IFERROR(IF(A:A="","",IF(Q19="Beer",SUM(LOOKUP(2,1/(Rates!$B$3:$B$5&lt;=V19)/(Rates!$C$3:$C$5&gt;=V19),Rates!$D$3:$D$5)*(W19/100)*V19),IF(Q19="Refreshment Beverage",SUM(LOOKUP(2,1/(Rates!$B$7:$B$11&lt;=V19)/(Rates!$C$7:$C$11&gt;=V19),Rates!$D$7:$D$11)*(W19/100)*V19)))),"")</f>
        <v/>
      </c>
      <c r="N19" s="81" t="str">
        <f t="shared" si="0"/>
        <v/>
      </c>
      <c r="O19" s="29"/>
      <c r="P19" s="30" t="str">
        <f t="shared" si="1"/>
        <v/>
      </c>
      <c r="Q19" s="65" t="str">
        <f t="shared" si="27"/>
        <v/>
      </c>
      <c r="R19" s="82" t="str">
        <f>IF(A19="","",IF(Q19="Refreshment Beverage",VLOOKUP(VALUE(P19),Rates!G$15:L$19,2,0),VLOOKUP(VALUE(P19),Rates!G$4:L$12,2,0)))</f>
        <v/>
      </c>
      <c r="S19" s="82" t="str">
        <f t="shared" si="2"/>
        <v/>
      </c>
      <c r="T19" s="31" t="str">
        <f t="shared" si="28"/>
        <v/>
      </c>
      <c r="U19" s="82" t="str">
        <f t="shared" si="3"/>
        <v/>
      </c>
      <c r="V19" s="82" t="str">
        <f t="shared" si="4"/>
        <v/>
      </c>
      <c r="W19" s="32" t="str">
        <f t="shared" si="5"/>
        <v/>
      </c>
      <c r="X19" s="33" t="str">
        <f>IF(A:A="","",IF(Q19="Refreshment Beverage",VLOOKUP(P19,Rates!G$15:L$19,6,0)*V19,VLOOKUP(P19,Rates!G$4:L$12,6,0)*V19))</f>
        <v/>
      </c>
      <c r="Y19" s="33" t="str">
        <f t="shared" si="6"/>
        <v/>
      </c>
      <c r="Z19" s="33" t="str">
        <f t="shared" si="7"/>
        <v/>
      </c>
      <c r="AA19" s="83" t="str">
        <f>IF(A:A="","",IF(Q19="Refreshment Beverage","",IF(AND(Q19="Beer",P19=0),SUM(LOOKUP(2,1/(Rates!$B$15:$B$18&lt;=V19)/(Rates!$C$15:$C$18&gt;=V19),Rates!$D$15:$D$18)*V19),VLOOKUP(VALUE(P:P),Rates!A:B,2,0)*V19)))</f>
        <v/>
      </c>
      <c r="AB19" s="83" t="str">
        <f>IF(A:A="","",IF(Q19="Refreshment Beverage","",IF(AND(Q19="Beer",P19=0),SUM(LOOKUP(2,1/(Rates!$B$15:$B$18&lt;=V19)/(Rates!$C$15:$C$18&gt;=V19),Rates!$E$15:$E$18)*V19),VLOOKUP(VALUE(P:P),Rates!A:C,3,0)*V19)))</f>
        <v/>
      </c>
      <c r="AC19" s="84" t="str">
        <f>IFERROR(IF(A:A="","",IF(Q19="Beer","",IF(VALUE(P19)=0,VLOOKUP(VLOOKUP(A:A,#REF!,16,0),Rates!A:E,2,0),VLOOKUP(VALUE(P19),Rates!A$31:B$34,2,0)*V19))),0)</f>
        <v/>
      </c>
      <c r="AD19" s="34" t="str">
        <f t="shared" si="8"/>
        <v/>
      </c>
      <c r="AE19" s="85" t="str">
        <f t="shared" si="9"/>
        <v/>
      </c>
      <c r="AF19" s="35" t="str">
        <f t="shared" si="10"/>
        <v/>
      </c>
      <c r="AG19" s="36" t="str">
        <f t="shared" si="11"/>
        <v/>
      </c>
      <c r="AH19" s="86" t="str">
        <f>IF(AD:AD="","",IF(Q19="Refreshment Beverage",AJ19*(Rates!J$19/100),ROUND(SUM(AG19*(Rates!$J$8/100)),4)))</f>
        <v/>
      </c>
      <c r="AI19" s="37" t="str">
        <f t="shared" si="12"/>
        <v/>
      </c>
      <c r="AJ19" s="38" t="str">
        <f t="shared" si="13"/>
        <v/>
      </c>
      <c r="AK19" s="34" t="str">
        <f t="shared" si="14"/>
        <v/>
      </c>
      <c r="AL19" s="85" t="str">
        <f>IF(AR19="","",IF(Q19="Refreshment Beverage",ROUND(AR19*Rates!K$19,4),ROUND(AN19*(VLOOKUP(VALUE(P19),Rates!G$4:L$12,3,0)),4)))</f>
        <v/>
      </c>
      <c r="AM19" s="39" t="str">
        <f>IF(AR19="","",IF(Q19="Refreshment Beverage",AR19*(Rates!J$19/100),MAX(AL19,AA19)))</f>
        <v/>
      </c>
      <c r="AN19" s="40" t="str">
        <f t="shared" si="41"/>
        <v/>
      </c>
      <c r="AO19" s="40" t="str">
        <f t="shared" si="45"/>
        <v/>
      </c>
      <c r="AP19" s="87" t="str">
        <f>IF(AR19="","",IF(Q19="Refreshment Beverage",ROUND(SUM(VLOOKUP(P:P,Rates!G$15:L$19,3,0)*(AR19-X19-Y19-Z19)),4),ROUND(SUM(Rates!$K$8*AR19),4)))</f>
        <v/>
      </c>
      <c r="AQ19" s="86" t="str">
        <f t="shared" si="46"/>
        <v/>
      </c>
      <c r="AR19" s="38" t="str">
        <f t="shared" si="18"/>
        <v/>
      </c>
      <c r="AS19" s="34" t="str">
        <f t="shared" si="42"/>
        <v/>
      </c>
      <c r="AT19" s="85" t="str">
        <f>IF(AW19="","",IF(Q19="Refreshment Beverage",ROUND((AZ19-X19-Y19-Z19)*VLOOKUP(VALUE(P19),Rates!G$15:L$19,3,0),4),ROUND(AV19*(VLOOKUP(VALUE(P19),Rates!G:L,3,0)),4)))</f>
        <v/>
      </c>
      <c r="AU19" s="39" t="str">
        <f t="shared" si="29"/>
        <v/>
      </c>
      <c r="AV19" s="40" t="str">
        <f t="shared" si="43"/>
        <v/>
      </c>
      <c r="AW19" s="36" t="str">
        <f t="shared" si="21"/>
        <v/>
      </c>
      <c r="AX19" s="87" t="str">
        <f>IF(AW19="","",IF(Q19="Refreshment Beverage",ROUND(SUM(AW19*Rates!K$19),4),ROUND(SUM(AW19*(Rates!J$8/100)),4)))</f>
        <v/>
      </c>
      <c r="AY19" s="37" t="str">
        <f t="shared" si="39"/>
        <v/>
      </c>
      <c r="AZ19" s="38" t="str">
        <f t="shared" si="44"/>
        <v/>
      </c>
      <c r="BB19" s="93"/>
    </row>
    <row r="20" spans="1:58" ht="15" customHeight="1" x14ac:dyDescent="0.2">
      <c r="B20" s="90"/>
      <c r="C20" s="92"/>
      <c r="D20" s="92"/>
      <c r="E20" s="92"/>
      <c r="F20" s="92"/>
      <c r="G20" s="92"/>
      <c r="H20" s="76"/>
      <c r="I20" s="77"/>
      <c r="J20" s="78" t="str">
        <f t="shared" si="24"/>
        <v/>
      </c>
      <c r="K20" s="79" t="str">
        <f t="shared" si="25"/>
        <v/>
      </c>
      <c r="L20" s="80" t="str">
        <f t="shared" si="26"/>
        <v/>
      </c>
      <c r="M20" s="81" t="str">
        <f>IFERROR(IF(A:A="","",IF(Q20="Beer",SUM(LOOKUP(2,1/(Rates!$B$3:$B$5&lt;=V20)/(Rates!$C$3:$C$5&gt;=V20),Rates!$D$3:$D$5)*(W20/100)*V20),IF(Q20="Refreshment Beverage",SUM(LOOKUP(2,1/(Rates!$B$7:$B$11&lt;=V20)/(Rates!$C$7:$C$11&gt;=V20),Rates!$D$7:$D$11)*(W20/100)*V20)))),"")</f>
        <v/>
      </c>
      <c r="N20" s="81" t="str">
        <f t="shared" si="0"/>
        <v/>
      </c>
      <c r="O20" s="29"/>
      <c r="P20" s="30" t="str">
        <f t="shared" si="1"/>
        <v/>
      </c>
      <c r="Q20" s="65" t="str">
        <f t="shared" si="27"/>
        <v/>
      </c>
      <c r="R20" s="82" t="str">
        <f>IF(A20="","",IF(Q20="Refreshment Beverage",VLOOKUP(VALUE(P20),Rates!G$15:L$19,2,0),VLOOKUP(VALUE(P20),Rates!G$4:L$12,2,0)))</f>
        <v/>
      </c>
      <c r="S20" s="82" t="str">
        <f t="shared" si="2"/>
        <v/>
      </c>
      <c r="T20" s="31" t="str">
        <f t="shared" si="28"/>
        <v/>
      </c>
      <c r="U20" s="82" t="str">
        <f t="shared" si="3"/>
        <v/>
      </c>
      <c r="V20" s="82" t="str">
        <f t="shared" si="4"/>
        <v/>
      </c>
      <c r="W20" s="32" t="str">
        <f t="shared" si="5"/>
        <v/>
      </c>
      <c r="X20" s="33" t="str">
        <f>IF(A:A="","",IF(Q20="Refreshment Beverage",VLOOKUP(P20,Rates!G$15:L$19,6,0)*V20,VLOOKUP(P20,Rates!G$4:L$12,6,0)*V20))</f>
        <v/>
      </c>
      <c r="Y20" s="33" t="str">
        <f t="shared" si="6"/>
        <v/>
      </c>
      <c r="Z20" s="33" t="str">
        <f t="shared" si="7"/>
        <v/>
      </c>
      <c r="AA20" s="83" t="str">
        <f>IF(A:A="","",IF(Q20="Refreshment Beverage","",IF(AND(Q20="Beer",P20=0),SUM(LOOKUP(2,1/(Rates!$B$15:$B$18&lt;=V20)/(Rates!$C$15:$C$18&gt;=V20),Rates!$D$15:$D$18)*V20),VLOOKUP(VALUE(P:P),Rates!A:B,2,0)*V20)))</f>
        <v/>
      </c>
      <c r="AB20" s="83" t="str">
        <f>IF(A:A="","",IF(Q20="Refreshment Beverage","",IF(AND(Q20="Beer",P20=0),SUM(LOOKUP(2,1/(Rates!$B$15:$B$18&lt;=V20)/(Rates!$C$15:$C$18&gt;=V20),Rates!$E$15:$E$18)*V20),VLOOKUP(VALUE(P:P),Rates!A:C,3,0)*V20)))</f>
        <v/>
      </c>
      <c r="AC20" s="84" t="str">
        <f>IFERROR(IF(A:A="","",IF(Q20="Beer","",IF(VALUE(P20)=0,VLOOKUP(VLOOKUP(A:A,#REF!,16,0),Rates!A:E,2,0),VLOOKUP(VALUE(P20),Rates!A$31:B$34,2,0)*V20))),0)</f>
        <v/>
      </c>
      <c r="AD20" s="34" t="str">
        <f t="shared" si="8"/>
        <v/>
      </c>
      <c r="AE20" s="85" t="str">
        <f t="shared" si="9"/>
        <v/>
      </c>
      <c r="AF20" s="35" t="str">
        <f t="shared" si="10"/>
        <v/>
      </c>
      <c r="AG20" s="36" t="str">
        <f t="shared" si="11"/>
        <v/>
      </c>
      <c r="AH20" s="86" t="str">
        <f>IF(AD:AD="","",IF(Q20="Refreshment Beverage",AJ20*(Rates!J$19/100),ROUND(SUM(AG20*(Rates!$J$8/100)),4)))</f>
        <v/>
      </c>
      <c r="AI20" s="37" t="str">
        <f t="shared" si="12"/>
        <v/>
      </c>
      <c r="AJ20" s="38" t="str">
        <f t="shared" si="13"/>
        <v/>
      </c>
      <c r="AK20" s="34" t="str">
        <f t="shared" si="14"/>
        <v/>
      </c>
      <c r="AL20" s="85" t="str">
        <f>IF(AR20="","",IF(Q20="Refreshment Beverage",ROUND(AR20*Rates!K$19,4),ROUND(AN20*(VLOOKUP(VALUE(P20),Rates!G$4:L$12,3,0)),4)))</f>
        <v/>
      </c>
      <c r="AM20" s="39" t="str">
        <f>IF(AR20="","",IF(Q20="Refreshment Beverage",AR20*(Rates!J$19/100),MAX(AL20,AA20)))</f>
        <v/>
      </c>
      <c r="AN20" s="40" t="str">
        <f t="shared" si="41"/>
        <v/>
      </c>
      <c r="AO20" s="40" t="str">
        <f t="shared" si="45"/>
        <v/>
      </c>
      <c r="AP20" s="87" t="str">
        <f>IF(AR20="","",IF(Q20="Refreshment Beverage",ROUND(SUM(VLOOKUP(P:P,Rates!G$15:L$19,3,0)*(AR20-X20-Y20-Z20)),4),ROUND(SUM(Rates!$K$8*AR20),4)))</f>
        <v/>
      </c>
      <c r="AQ20" s="86" t="str">
        <f t="shared" si="46"/>
        <v/>
      </c>
      <c r="AR20" s="38" t="str">
        <f t="shared" si="18"/>
        <v/>
      </c>
      <c r="AS20" s="34" t="str">
        <f t="shared" si="42"/>
        <v/>
      </c>
      <c r="AT20" s="85" t="str">
        <f>IF(AW20="","",IF(Q20="Refreshment Beverage",ROUND((AZ20-X20-Y20-Z20)*VLOOKUP(VALUE(P20),Rates!G$15:L$19,3,0),4),ROUND(AV20*(VLOOKUP(VALUE(P20),Rates!G:L,3,0)),4)))</f>
        <v/>
      </c>
      <c r="AU20" s="39" t="str">
        <f t="shared" si="29"/>
        <v/>
      </c>
      <c r="AV20" s="40" t="str">
        <f t="shared" si="43"/>
        <v/>
      </c>
      <c r="AW20" s="36" t="str">
        <f t="shared" si="21"/>
        <v/>
      </c>
      <c r="AX20" s="87" t="str">
        <f>IF(AW20="","",IF(Q20="Refreshment Beverage",ROUND(SUM(AW20*Rates!K$19),4),ROUND(SUM(AW20*(Rates!J$8/100)),4)))</f>
        <v/>
      </c>
      <c r="AY20" s="37" t="str">
        <f t="shared" si="39"/>
        <v/>
      </c>
      <c r="AZ20" s="38" t="str">
        <f t="shared" si="44"/>
        <v/>
      </c>
      <c r="BB20" s="93"/>
      <c r="BC20" s="96"/>
      <c r="BD20" s="96"/>
      <c r="BE20" s="96"/>
      <c r="BF20" s="96"/>
    </row>
    <row r="21" spans="1:58" ht="15" customHeight="1" x14ac:dyDescent="0.2">
      <c r="B21" s="90"/>
      <c r="C21" s="92"/>
      <c r="D21" s="92"/>
      <c r="E21" s="92"/>
      <c r="F21" s="92"/>
      <c r="G21" s="92"/>
      <c r="H21" s="76"/>
      <c r="I21" s="77"/>
      <c r="J21" s="78" t="str">
        <f t="shared" si="24"/>
        <v/>
      </c>
      <c r="K21" s="79" t="str">
        <f t="shared" si="25"/>
        <v/>
      </c>
      <c r="L21" s="80" t="str">
        <f t="shared" si="26"/>
        <v/>
      </c>
      <c r="M21" s="81" t="str">
        <f>IFERROR(IF(A:A="","",IF(Q21="Beer",SUM(LOOKUP(2,1/(Rates!$B$3:$B$5&lt;=V21)/(Rates!$C$3:$C$5&gt;=V21),Rates!$D$3:$D$5)*(W21/100)*V21),IF(Q21="Refreshment Beverage",SUM(LOOKUP(2,1/(Rates!$B$7:$B$11&lt;=V21)/(Rates!$C$7:$C$11&gt;=V21),Rates!$D$7:$D$11)*(W21/100)*V21)))),"")</f>
        <v/>
      </c>
      <c r="N21" s="81" t="str">
        <f t="shared" si="0"/>
        <v/>
      </c>
      <c r="O21" s="29"/>
      <c r="P21" s="30" t="str">
        <f t="shared" si="1"/>
        <v/>
      </c>
      <c r="Q21" s="65" t="str">
        <f t="shared" si="27"/>
        <v/>
      </c>
      <c r="R21" s="82" t="str">
        <f>IF(A21="","",IF(Q21="Refreshment Beverage",VLOOKUP(VALUE(P21),Rates!G$15:L$19,2,0),VLOOKUP(VALUE(P21),Rates!G$4:L$12,2,0)))</f>
        <v/>
      </c>
      <c r="S21" s="82" t="str">
        <f t="shared" si="2"/>
        <v/>
      </c>
      <c r="T21" s="31" t="str">
        <f t="shared" si="28"/>
        <v/>
      </c>
      <c r="U21" s="82" t="str">
        <f t="shared" si="3"/>
        <v/>
      </c>
      <c r="V21" s="82" t="str">
        <f t="shared" si="4"/>
        <v/>
      </c>
      <c r="W21" s="32" t="str">
        <f t="shared" si="5"/>
        <v/>
      </c>
      <c r="X21" s="33" t="str">
        <f>IF(A:A="","",IF(Q21="Refreshment Beverage",VLOOKUP(P21,Rates!G$15:L$19,6,0)*V21,VLOOKUP(P21,Rates!G$4:L$12,6,0)*V21))</f>
        <v/>
      </c>
      <c r="Y21" s="33" t="str">
        <f t="shared" si="6"/>
        <v/>
      </c>
      <c r="Z21" s="33" t="str">
        <f t="shared" si="7"/>
        <v/>
      </c>
      <c r="AA21" s="83" t="str">
        <f>IF(A:A="","",IF(Q21="Refreshment Beverage","",IF(AND(Q21="Beer",P21=0),SUM(LOOKUP(2,1/(Rates!$B$15:$B$18&lt;=V21)/(Rates!$C$15:$C$18&gt;=V21),Rates!$D$15:$D$18)*V21),VLOOKUP(VALUE(P:P),Rates!A:B,2,0)*V21)))</f>
        <v/>
      </c>
      <c r="AB21" s="83" t="str">
        <f>IF(A:A="","",IF(Q21="Refreshment Beverage","",IF(AND(Q21="Beer",P21=0),SUM(LOOKUP(2,1/(Rates!$B$15:$B$18&lt;=V21)/(Rates!$C$15:$C$18&gt;=V21),Rates!$E$15:$E$18)*V21),VLOOKUP(VALUE(P:P),Rates!A:C,3,0)*V21)))</f>
        <v/>
      </c>
      <c r="AC21" s="84" t="str">
        <f>IFERROR(IF(A:A="","",IF(Q21="Beer","",IF(VALUE(P21)=0,VLOOKUP(VLOOKUP(A:A,#REF!,16,0),Rates!A:E,2,0),VLOOKUP(VALUE(P21),Rates!A$31:B$34,2,0)*V21))),0)</f>
        <v/>
      </c>
      <c r="AD21" s="34" t="str">
        <f t="shared" si="8"/>
        <v/>
      </c>
      <c r="AE21" s="85" t="str">
        <f t="shared" si="9"/>
        <v/>
      </c>
      <c r="AF21" s="35" t="str">
        <f t="shared" si="10"/>
        <v/>
      </c>
      <c r="AG21" s="36" t="str">
        <f t="shared" si="11"/>
        <v/>
      </c>
      <c r="AH21" s="86" t="str">
        <f>IF(AD:AD="","",IF(Q21="Refreshment Beverage",AJ21*(Rates!J$19/100),ROUND(SUM(AG21*(Rates!$J$8/100)),4)))</f>
        <v/>
      </c>
      <c r="AI21" s="37" t="str">
        <f t="shared" si="12"/>
        <v/>
      </c>
      <c r="AJ21" s="38" t="str">
        <f t="shared" si="13"/>
        <v/>
      </c>
      <c r="AK21" s="34" t="str">
        <f t="shared" si="14"/>
        <v/>
      </c>
      <c r="AL21" s="85" t="str">
        <f>IF(AR21="","",IF(Q21="Refreshment Beverage",ROUND(AR21*Rates!K$19,4),ROUND(AN21*(VLOOKUP(VALUE(P21),Rates!G$4:L$12,3,0)),4)))</f>
        <v/>
      </c>
      <c r="AM21" s="39" t="str">
        <f>IF(AR21="","",IF(Q21="Refreshment Beverage",AR21*(Rates!J$19/100),MAX(AL21,AA21)))</f>
        <v/>
      </c>
      <c r="AN21" s="40" t="str">
        <f t="shared" si="41"/>
        <v/>
      </c>
      <c r="AO21" s="40" t="str">
        <f t="shared" si="45"/>
        <v/>
      </c>
      <c r="AP21" s="87" t="str">
        <f>IF(AR21="","",IF(Q21="Refreshment Beverage",ROUND(SUM(VLOOKUP(P:P,Rates!G$15:L$19,3,0)*(AR21-X21-Y21-Z21)),4),ROUND(SUM(Rates!$K$8*AR21),4)))</f>
        <v/>
      </c>
      <c r="AQ21" s="86" t="str">
        <f t="shared" si="46"/>
        <v/>
      </c>
      <c r="AR21" s="38" t="str">
        <f t="shared" si="18"/>
        <v/>
      </c>
      <c r="AS21" s="34" t="str">
        <f t="shared" si="42"/>
        <v/>
      </c>
      <c r="AT21" s="85" t="str">
        <f>IF(AW21="","",IF(Q21="Refreshment Beverage",ROUND((AZ21-X21-Y21-Z21)*VLOOKUP(VALUE(P21),Rates!G$15:L$19,3,0),4),ROUND(AV21*(VLOOKUP(VALUE(P21),Rates!G:L,3,0)),4)))</f>
        <v/>
      </c>
      <c r="AU21" s="39" t="str">
        <f t="shared" si="29"/>
        <v/>
      </c>
      <c r="AV21" s="40" t="str">
        <f t="shared" si="43"/>
        <v/>
      </c>
      <c r="AW21" s="36" t="str">
        <f t="shared" si="21"/>
        <v/>
      </c>
      <c r="AX21" s="87" t="str">
        <f>IF(AW21="","",IF(Q21="Refreshment Beverage",ROUND(SUM(AW21*Rates!K$19),4),ROUND(SUM(AW21*(Rates!J$8/100)),4)))</f>
        <v/>
      </c>
      <c r="AY21" s="37" t="str">
        <f t="shared" si="39"/>
        <v/>
      </c>
      <c r="AZ21" s="38" t="str">
        <f t="shared" si="44"/>
        <v/>
      </c>
      <c r="BB21" s="93"/>
      <c r="BC21" s="96"/>
      <c r="BD21" s="96"/>
      <c r="BE21" s="96"/>
      <c r="BF21" s="96"/>
    </row>
    <row r="22" spans="1:58" ht="15" customHeight="1" x14ac:dyDescent="0.2">
      <c r="B22" s="90"/>
      <c r="C22" s="92"/>
      <c r="D22" s="92"/>
      <c r="E22" s="92"/>
      <c r="F22" s="92"/>
      <c r="G22" s="92"/>
      <c r="H22" s="76"/>
      <c r="I22" s="77"/>
      <c r="J22" s="78" t="str">
        <f t="shared" si="24"/>
        <v/>
      </c>
      <c r="K22" s="79" t="str">
        <f t="shared" si="25"/>
        <v/>
      </c>
      <c r="L22" s="80" t="str">
        <f t="shared" si="26"/>
        <v/>
      </c>
      <c r="M22" s="81" t="str">
        <f>IFERROR(IF(A:A="","",IF(Q22="Beer",SUM(LOOKUP(2,1/(Rates!$B$3:$B$5&lt;=V22)/(Rates!$C$3:$C$5&gt;=V22),Rates!$D$3:$D$5)*(W22/100)*V22),IF(Q22="Refreshment Beverage",SUM(LOOKUP(2,1/(Rates!$B$7:$B$11&lt;=V22)/(Rates!$C$7:$C$11&gt;=V22),Rates!$D$7:$D$11)*(W22/100)*V22)))),"")</f>
        <v/>
      </c>
      <c r="N22" s="81" t="str">
        <f t="shared" si="0"/>
        <v/>
      </c>
      <c r="O22" s="29"/>
      <c r="P22" s="30" t="str">
        <f t="shared" si="1"/>
        <v/>
      </c>
      <c r="Q22" s="65" t="str">
        <f t="shared" si="27"/>
        <v/>
      </c>
      <c r="R22" s="82" t="str">
        <f>IF(A22="","",IF(Q22="Refreshment Beverage",VLOOKUP(VALUE(P22),Rates!G$15:L$19,2,0),VLOOKUP(VALUE(P22),Rates!G$4:L$12,2,0)))</f>
        <v/>
      </c>
      <c r="S22" s="82" t="str">
        <f t="shared" si="2"/>
        <v/>
      </c>
      <c r="T22" s="31" t="str">
        <f t="shared" si="28"/>
        <v/>
      </c>
      <c r="U22" s="82" t="str">
        <f t="shared" si="3"/>
        <v/>
      </c>
      <c r="V22" s="82" t="str">
        <f t="shared" si="4"/>
        <v/>
      </c>
      <c r="W22" s="32" t="str">
        <f t="shared" si="5"/>
        <v/>
      </c>
      <c r="X22" s="33" t="str">
        <f>IF(A:A="","",IF(Q22="Refreshment Beverage",VLOOKUP(P22,Rates!G$15:L$19,6,0)*V22,VLOOKUP(P22,Rates!G$4:L$12,6,0)*V22))</f>
        <v/>
      </c>
      <c r="Y22" s="33" t="str">
        <f t="shared" si="6"/>
        <v/>
      </c>
      <c r="Z22" s="33" t="str">
        <f t="shared" si="7"/>
        <v/>
      </c>
      <c r="AA22" s="83" t="str">
        <f>IF(A:A="","",IF(Q22="Refreshment Beverage","",IF(AND(Q22="Beer",P22=0),SUM(LOOKUP(2,1/(Rates!$B$15:$B$18&lt;=V22)/(Rates!$C$15:$C$18&gt;=V22),Rates!$D$15:$D$18)*V22),VLOOKUP(VALUE(P:P),Rates!A:B,2,0)*V22)))</f>
        <v/>
      </c>
      <c r="AB22" s="83" t="str">
        <f>IF(A:A="","",IF(Q22="Refreshment Beverage","",IF(AND(Q22="Beer",P22=0),SUM(LOOKUP(2,1/(Rates!$B$15:$B$18&lt;=V22)/(Rates!$C$15:$C$18&gt;=V22),Rates!$E$15:$E$18)*V22),VLOOKUP(VALUE(P:P),Rates!A:C,3,0)*V22)))</f>
        <v/>
      </c>
      <c r="AC22" s="84" t="str">
        <f>IFERROR(IF(A:A="","",IF(Q22="Beer","",IF(VALUE(P22)=0,VLOOKUP(VLOOKUP(A:A,#REF!,16,0),Rates!A:E,2,0),VLOOKUP(VALUE(P22),Rates!A$31:B$34,2,0)*V22))),0)</f>
        <v/>
      </c>
      <c r="AD22" s="34" t="str">
        <f t="shared" si="8"/>
        <v/>
      </c>
      <c r="AE22" s="85" t="str">
        <f t="shared" si="9"/>
        <v/>
      </c>
      <c r="AF22" s="35" t="str">
        <f t="shared" si="10"/>
        <v/>
      </c>
      <c r="AG22" s="36" t="str">
        <f t="shared" si="11"/>
        <v/>
      </c>
      <c r="AH22" s="86" t="str">
        <f>IF(AD:AD="","",IF(Q22="Refreshment Beverage",AJ22*(Rates!J$19/100),ROUND(SUM(AG22*(Rates!$J$8/100)),4)))</f>
        <v/>
      </c>
      <c r="AI22" s="37" t="str">
        <f t="shared" si="12"/>
        <v/>
      </c>
      <c r="AJ22" s="38" t="str">
        <f t="shared" si="13"/>
        <v/>
      </c>
      <c r="AK22" s="34" t="str">
        <f t="shared" si="14"/>
        <v/>
      </c>
      <c r="AL22" s="85" t="str">
        <f>IF(AR22="","",IF(Q22="Refreshment Beverage",ROUND(AR22*Rates!K$19,4),ROUND(AN22*(VLOOKUP(VALUE(P22),Rates!G$4:L$12,3,0)),4)))</f>
        <v/>
      </c>
      <c r="AM22" s="39" t="str">
        <f>IF(AR22="","",IF(Q22="Refreshment Beverage",AR22*(Rates!J$19/100),MAX(AL22,AA22)))</f>
        <v/>
      </c>
      <c r="AN22" s="40" t="str">
        <f t="shared" si="41"/>
        <v/>
      </c>
      <c r="AO22" s="40" t="str">
        <f t="shared" si="45"/>
        <v/>
      </c>
      <c r="AP22" s="87" t="str">
        <f>IF(AR22="","",IF(Q22="Refreshment Beverage",ROUND(SUM(VLOOKUP(P:P,Rates!G$15:L$19,3,0)*(AR22-X22-Y22-Z22)),4),ROUND(SUM(Rates!$K$8*AR22),4)))</f>
        <v/>
      </c>
      <c r="AQ22" s="86" t="str">
        <f t="shared" si="46"/>
        <v/>
      </c>
      <c r="AR22" s="38" t="str">
        <f t="shared" si="18"/>
        <v/>
      </c>
      <c r="AS22" s="34" t="str">
        <f t="shared" si="42"/>
        <v/>
      </c>
      <c r="AT22" s="85" t="str">
        <f>IF(AW22="","",IF(Q22="Refreshment Beverage",ROUND((AZ22-X22-Y22-Z22)*VLOOKUP(VALUE(P22),Rates!G$15:L$19,3,0),4),ROUND(AV22*(VLOOKUP(VALUE(P22),Rates!G:L,3,0)),4)))</f>
        <v/>
      </c>
      <c r="AU22" s="39" t="str">
        <f t="shared" si="29"/>
        <v/>
      </c>
      <c r="AV22" s="40" t="str">
        <f t="shared" si="43"/>
        <v/>
      </c>
      <c r="AW22" s="36" t="str">
        <f t="shared" si="21"/>
        <v/>
      </c>
      <c r="AX22" s="87" t="str">
        <f>IF(AW22="","",IF(Q22="Refreshment Beverage",ROUND(SUM(AW22*Rates!K$19),4),ROUND(SUM(AW22*(Rates!J$8/100)),4)))</f>
        <v/>
      </c>
      <c r="AY22" s="37" t="str">
        <f t="shared" si="39"/>
        <v/>
      </c>
      <c r="AZ22" s="38" t="str">
        <f t="shared" si="44"/>
        <v/>
      </c>
      <c r="BB22" s="93"/>
      <c r="BC22" s="96"/>
      <c r="BD22" s="96"/>
      <c r="BE22" s="96"/>
      <c r="BF22" s="96"/>
    </row>
    <row r="23" spans="1:58" ht="15" customHeight="1" x14ac:dyDescent="0.2">
      <c r="B23" s="90"/>
      <c r="C23" s="92"/>
      <c r="D23" s="92"/>
      <c r="E23" s="92"/>
      <c r="F23" s="92"/>
      <c r="G23" s="92"/>
      <c r="H23" s="42"/>
      <c r="I23" s="77"/>
      <c r="J23" s="78" t="str">
        <f t="shared" si="24"/>
        <v/>
      </c>
      <c r="K23" s="79" t="str">
        <f t="shared" si="25"/>
        <v/>
      </c>
      <c r="L23" s="80" t="str">
        <f t="shared" si="26"/>
        <v/>
      </c>
      <c r="M23" s="81" t="str">
        <f>IFERROR(IF(A:A="","",IF(Q23="Beer",SUM(LOOKUP(2,1/(Rates!$B$3:$B$5&lt;=V23)/(Rates!$C$3:$C$5&gt;=V23),Rates!$D$3:$D$5)*(W23/100)*V23),IF(Q23="Refreshment Beverage",SUM(LOOKUP(2,1/(Rates!$B$7:$B$11&lt;=V23)/(Rates!$C$7:$C$11&gt;=V23),Rates!$D$7:$D$11)*(W23/100)*V23)))),"")</f>
        <v/>
      </c>
      <c r="N23" s="81" t="str">
        <f t="shared" si="0"/>
        <v/>
      </c>
      <c r="O23" s="29"/>
      <c r="P23" s="30" t="str">
        <f t="shared" si="1"/>
        <v/>
      </c>
      <c r="Q23" s="65" t="str">
        <f t="shared" si="27"/>
        <v/>
      </c>
      <c r="R23" s="82" t="str">
        <f>IF(A23="","",IF(Q23="Refreshment Beverage",VLOOKUP(VALUE(P23),Rates!G$15:L$19,2,0),VLOOKUP(VALUE(P23),Rates!G$4:L$12,2,0)))</f>
        <v/>
      </c>
      <c r="S23" s="82" t="str">
        <f t="shared" si="2"/>
        <v/>
      </c>
      <c r="T23" s="31" t="str">
        <f t="shared" si="28"/>
        <v/>
      </c>
      <c r="U23" s="82" t="str">
        <f t="shared" si="3"/>
        <v/>
      </c>
      <c r="V23" s="82" t="str">
        <f t="shared" si="4"/>
        <v/>
      </c>
      <c r="W23" s="32" t="str">
        <f t="shared" si="5"/>
        <v/>
      </c>
      <c r="X23" s="33" t="str">
        <f>IF(A:A="","",IF(Q23="Refreshment Beverage",VLOOKUP(P23,Rates!G$15:L$19,6,0)*V23,VLOOKUP(P23,Rates!G$4:L$12,6,0)*V23))</f>
        <v/>
      </c>
      <c r="Y23" s="33" t="str">
        <f t="shared" si="6"/>
        <v/>
      </c>
      <c r="Z23" s="33" t="str">
        <f t="shared" si="7"/>
        <v/>
      </c>
      <c r="AA23" s="83" t="str">
        <f>IF(A:A="","",IF(Q23="Refreshment Beverage","",IF(AND(Q23="Beer",P23=0),SUM(LOOKUP(2,1/(Rates!$B$15:$B$18&lt;=V23)/(Rates!$C$15:$C$18&gt;=V23),Rates!$D$15:$D$18)*V23),VLOOKUP(VALUE(P:P),Rates!A:B,2,0)*V23)))</f>
        <v/>
      </c>
      <c r="AB23" s="83" t="str">
        <f>IF(A:A="","",IF(Q23="Refreshment Beverage","",IF(AND(Q23="Beer",P23=0),SUM(LOOKUP(2,1/(Rates!$B$15:$B$18&lt;=V23)/(Rates!$C$15:$C$18&gt;=V23),Rates!$E$15:$E$18)*V23),VLOOKUP(VALUE(P:P),Rates!A:C,3,0)*V23)))</f>
        <v/>
      </c>
      <c r="AC23" s="84" t="str">
        <f>IFERROR(IF(A:A="","",IF(Q23="Beer","",IF(VALUE(P23)=0,VLOOKUP(VLOOKUP(A:A,#REF!,16,0),Rates!A:E,2,0),VLOOKUP(VALUE(P23),Rates!A$31:B$34,2,0)*V23))),0)</f>
        <v/>
      </c>
      <c r="AD23" s="34" t="str">
        <f t="shared" si="8"/>
        <v/>
      </c>
      <c r="AE23" s="85" t="str">
        <f t="shared" si="9"/>
        <v/>
      </c>
      <c r="AF23" s="35" t="str">
        <f t="shared" si="10"/>
        <v/>
      </c>
      <c r="AG23" s="36" t="str">
        <f t="shared" si="11"/>
        <v/>
      </c>
      <c r="AH23" s="86" t="str">
        <f>IF(AD:AD="","",IF(Q23="Refreshment Beverage",AJ23*(Rates!J$19/100),ROUND(SUM(AG23*(Rates!$J$8/100)),4)))</f>
        <v/>
      </c>
      <c r="AI23" s="37" t="str">
        <f t="shared" si="12"/>
        <v/>
      </c>
      <c r="AJ23" s="38" t="str">
        <f t="shared" si="13"/>
        <v/>
      </c>
      <c r="AK23" s="34" t="str">
        <f t="shared" si="14"/>
        <v/>
      </c>
      <c r="AL23" s="85" t="str">
        <f>IF(AR23="","",IF(Q23="Refreshment Beverage",ROUND(AR23*Rates!K$19,4),ROUND(AN23*(VLOOKUP(VALUE(P23),Rates!G$4:L$12,3,0)),4)))</f>
        <v/>
      </c>
      <c r="AM23" s="39" t="str">
        <f>IF(AR23="","",IF(Q23="Refreshment Beverage",AR23*(Rates!J$19/100),MAX(AL23,AA23)))</f>
        <v/>
      </c>
      <c r="AN23" s="40" t="str">
        <f t="shared" si="41"/>
        <v/>
      </c>
      <c r="AO23" s="40" t="str">
        <f>IF(AR23="","",IF(Q23="Refreshment Beverage",ROUND(AR23-AM23,2),ROUND(SUM(AR23-AQ23),2)))</f>
        <v/>
      </c>
      <c r="AP23" s="87" t="str">
        <f>IF(AR23="","",IF(Q23="Refreshment Beverage",ROUND(SUM(VLOOKUP(P:P,Rates!G$15:L$19,3,0)*(AR23-X23-Y23-Z23)),4),ROUND(SUM(Rates!$K$8*AR23),4)))</f>
        <v/>
      </c>
      <c r="AQ23" s="86" t="str">
        <f t="shared" si="46"/>
        <v/>
      </c>
      <c r="AR23" s="38" t="str">
        <f t="shared" si="18"/>
        <v/>
      </c>
      <c r="AS23" s="34" t="str">
        <f t="shared" si="42"/>
        <v/>
      </c>
      <c r="AT23" s="85" t="str">
        <f>IF(AW23="","",IF(Q23="Refreshment Beverage",ROUND((AZ23-X23-Y23-Z23)*VLOOKUP(VALUE(P23),Rates!G$15:L$19,3,0),4),ROUND(AV23*(VLOOKUP(VALUE(P23),Rates!G:L,3,0)),4)))</f>
        <v/>
      </c>
      <c r="AU23" s="39" t="str">
        <f t="shared" si="29"/>
        <v/>
      </c>
      <c r="AV23" s="40" t="str">
        <f>IF(AW23="","",IF(Q23="Refreshment Beverage",SUM(AZ23-AU23-X23-Y23-Z23),ROUND(SUM(AZ23-AY23-X23-Y23-Z23),4)))</f>
        <v/>
      </c>
      <c r="AW23" s="36" t="str">
        <f t="shared" si="21"/>
        <v/>
      </c>
      <c r="AX23" s="87" t="str">
        <f>IF(AW23="","",IF(Q23="Refreshment Beverage",ROUND(SUM(AW23*Rates!K$19),4),ROUND(SUM(AW23*(Rates!J$8/100)),4)))</f>
        <v/>
      </c>
      <c r="AY23" s="37" t="str">
        <f t="shared" si="39"/>
        <v/>
      </c>
      <c r="AZ23" s="38" t="str">
        <f>IF(AW23="","",SUM(AW23+AY23))</f>
        <v/>
      </c>
      <c r="BB23" s="93"/>
      <c r="BC23" s="96"/>
      <c r="BD23" s="96"/>
      <c r="BE23" s="96"/>
      <c r="BF23" s="96"/>
    </row>
    <row r="24" spans="1:58" ht="15" customHeight="1" x14ac:dyDescent="0.2">
      <c r="A24" s="91"/>
      <c r="B24" s="90"/>
      <c r="C24" s="92"/>
      <c r="D24" s="92"/>
      <c r="E24" s="92"/>
      <c r="F24" s="92"/>
      <c r="G24" s="92"/>
      <c r="H24" s="76"/>
      <c r="I24" s="77"/>
      <c r="J24" s="78" t="str">
        <f t="shared" si="24"/>
        <v/>
      </c>
      <c r="K24" s="79" t="str">
        <f t="shared" si="25"/>
        <v/>
      </c>
      <c r="L24" s="80" t="str">
        <f t="shared" si="26"/>
        <v/>
      </c>
      <c r="M24" s="81" t="str">
        <f>IFERROR(IF(A:A="","",IF(Q24="Beer",SUM(LOOKUP(2,1/(Rates!$B$3:$B$5&lt;=V24)/(Rates!$C$3:$C$5&gt;=V24),Rates!$D$3:$D$5)*(W24/100)*V24),IF(Q24="Refreshment Beverage",SUM(LOOKUP(2,1/(Rates!$B$7:$B$11&lt;=V24)/(Rates!$C$7:$C$11&gt;=V24),Rates!$D$7:$D$11)*(W24/100)*V24)))),"")</f>
        <v/>
      </c>
      <c r="N24" s="81" t="str">
        <f t="shared" si="0"/>
        <v/>
      </c>
      <c r="O24" s="29"/>
      <c r="P24" s="30" t="str">
        <f t="shared" si="1"/>
        <v/>
      </c>
      <c r="Q24" s="65" t="str">
        <f t="shared" si="27"/>
        <v/>
      </c>
      <c r="R24" s="82" t="str">
        <f>IF(A24="","",IF(Q24="Refreshment Beverage",VLOOKUP(VALUE(P24),Rates!G$15:L$19,2,0),VLOOKUP(VALUE(P24),Rates!G$4:L$12,2,0)))</f>
        <v/>
      </c>
      <c r="S24" s="82" t="str">
        <f t="shared" si="2"/>
        <v/>
      </c>
      <c r="T24" s="31" t="str">
        <f t="shared" si="28"/>
        <v/>
      </c>
      <c r="U24" s="82" t="str">
        <f t="shared" si="3"/>
        <v/>
      </c>
      <c r="V24" s="82" t="str">
        <f t="shared" si="4"/>
        <v/>
      </c>
      <c r="W24" s="32" t="str">
        <f t="shared" si="5"/>
        <v/>
      </c>
      <c r="X24" s="33" t="str">
        <f>IF(A:A="","",IF(Q24="Refreshment Beverage",VLOOKUP(P24,Rates!G$15:L$19,6,0)*V24,VLOOKUP(P24,Rates!G$4:L$12,6,0)*V24))</f>
        <v/>
      </c>
      <c r="Y24" s="33" t="str">
        <f t="shared" si="6"/>
        <v/>
      </c>
      <c r="Z24" s="33" t="str">
        <f t="shared" si="7"/>
        <v/>
      </c>
      <c r="AA24" s="83" t="str">
        <f>IF(A:A="","",IF(Q24="Refreshment Beverage","",IF(AND(Q24="Beer",P24=0),SUM(LOOKUP(2,1/(Rates!$B$15:$B$18&lt;=V24)/(Rates!$C$15:$C$18&gt;=V24),Rates!$D$15:$D$18)*V24),VLOOKUP(VALUE(P:P),Rates!A:B,2,0)*V24)))</f>
        <v/>
      </c>
      <c r="AB24" s="83" t="str">
        <f>IF(A:A="","",IF(Q24="Refreshment Beverage","",IF(AND(Q24="Beer",P24=0),SUM(LOOKUP(2,1/(Rates!$B$15:$B$18&lt;=V24)/(Rates!$C$15:$C$18&gt;=V24),Rates!$E$15:$E$18)*V24),VLOOKUP(VALUE(P:P),Rates!A:C,3,0)*V24)))</f>
        <v/>
      </c>
      <c r="AC24" s="84" t="str">
        <f>IFERROR(IF(A:A="","",IF(Q24="Beer","",IF(VALUE(P24)=0,VLOOKUP(VLOOKUP(A:A,#REF!,16,0),Rates!A:E,2,0),VLOOKUP(VALUE(P24),Rates!A$31:B$34,2,0)*V24))),0)</f>
        <v/>
      </c>
      <c r="AD24" s="34" t="str">
        <f t="shared" si="8"/>
        <v/>
      </c>
      <c r="AE24" s="85" t="str">
        <f t="shared" si="9"/>
        <v/>
      </c>
      <c r="AF24" s="35" t="str">
        <f t="shared" si="10"/>
        <v/>
      </c>
      <c r="AG24" s="36" t="str">
        <f t="shared" si="11"/>
        <v/>
      </c>
      <c r="AH24" s="86" t="str">
        <f>IF(AD:AD="","",IF(Q24="Refreshment Beverage",AJ24*(Rates!J$19/100),ROUND(SUM(AG24*(Rates!$J$8/100)),4)))</f>
        <v/>
      </c>
      <c r="AI24" s="37" t="str">
        <f t="shared" si="12"/>
        <v/>
      </c>
      <c r="AJ24" s="38" t="str">
        <f t="shared" si="13"/>
        <v/>
      </c>
      <c r="AK24" s="34" t="str">
        <f t="shared" si="14"/>
        <v/>
      </c>
      <c r="AL24" s="85" t="str">
        <f>IF(AR24="","",IF(Q24="Refreshment Beverage",ROUND(AR24*Rates!K$19,4),ROUND(AN24*(VLOOKUP(VALUE(P24),Rates!G$4:L$12,3,0)),4)))</f>
        <v/>
      </c>
      <c r="AM24" s="39" t="str">
        <f>IF(AR24="","",IF(Q24="Refreshment Beverage",AR24*(Rates!J$19/100),MAX(AL24,AA24)))</f>
        <v/>
      </c>
      <c r="AN24" s="40" t="str">
        <f t="shared" si="41"/>
        <v/>
      </c>
      <c r="AO24" s="40" t="str">
        <f t="shared" si="45"/>
        <v/>
      </c>
      <c r="AP24" s="87" t="str">
        <f>IF(AR24="","",IF(Q24="Refreshment Beverage",ROUND(SUM(VLOOKUP(P:P,Rates!G$15:L$19,3,0)*(AR24-X24-Y24-Z24)),4),ROUND(SUM(Rates!$K$8*AR24),4)))</f>
        <v/>
      </c>
      <c r="AQ24" s="86" t="str">
        <f t="shared" si="46"/>
        <v/>
      </c>
      <c r="AR24" s="38" t="str">
        <f t="shared" si="18"/>
        <v/>
      </c>
      <c r="AS24" s="34" t="str">
        <f t="shared" si="42"/>
        <v/>
      </c>
      <c r="AT24" s="85" t="str">
        <f>IF(AW24="","",IF(Q24="Refreshment Beverage",ROUND((AZ24-X24-Y24-Z24)*VLOOKUP(VALUE(P24),Rates!G$15:L$19,3,0),4),ROUND(AV24*(VLOOKUP(VALUE(P24),Rates!G:L,3,0)),4)))</f>
        <v/>
      </c>
      <c r="AU24" s="39" t="str">
        <f t="shared" si="29"/>
        <v/>
      </c>
      <c r="AV24" s="40" t="str">
        <f t="shared" si="43"/>
        <v/>
      </c>
      <c r="AW24" s="36" t="str">
        <f t="shared" si="21"/>
        <v/>
      </c>
      <c r="AX24" s="87" t="str">
        <f>IF(AW24="","",IF(Q24="Refreshment Beverage",ROUND(SUM(AW24*Rates!K$19),4),ROUND(SUM(AW24*(Rates!J$8/100)),4)))</f>
        <v/>
      </c>
      <c r="AY24" s="37" t="str">
        <f t="shared" si="39"/>
        <v/>
      </c>
      <c r="AZ24" s="38" t="str">
        <f t="shared" si="44"/>
        <v/>
      </c>
      <c r="BB24" s="93"/>
      <c r="BC24" s="96"/>
      <c r="BD24" s="96"/>
      <c r="BE24" s="96"/>
      <c r="BF24" s="96"/>
    </row>
    <row r="25" spans="1:58" ht="15" customHeight="1" x14ac:dyDescent="0.2">
      <c r="B25" s="90"/>
      <c r="C25" s="92"/>
      <c r="D25" s="92"/>
      <c r="E25" s="92"/>
      <c r="F25" s="92"/>
      <c r="G25" s="92"/>
      <c r="H25" s="76"/>
      <c r="I25" s="77"/>
      <c r="J25" s="78" t="str">
        <f t="shared" si="24"/>
        <v/>
      </c>
      <c r="K25" s="79" t="str">
        <f t="shared" si="25"/>
        <v/>
      </c>
      <c r="L25" s="80" t="str">
        <f t="shared" si="26"/>
        <v/>
      </c>
      <c r="M25" s="81" t="str">
        <f>IFERROR(IF(A:A="","",IF(Q25="Beer",SUM(LOOKUP(2,1/(Rates!$B$3:$B$5&lt;=V25)/(Rates!$C$3:$C$5&gt;=V25),Rates!$D$3:$D$5)*(W25/100)*V25),IF(Q25="Refreshment Beverage",SUM(LOOKUP(2,1/(Rates!$B$7:$B$11&lt;=V25)/(Rates!$C$7:$C$11&gt;=V25),Rates!$D$7:$D$11)*(W25/100)*V25)))),"")</f>
        <v/>
      </c>
      <c r="N25" s="81" t="str">
        <f t="shared" si="0"/>
        <v/>
      </c>
      <c r="O25" s="29"/>
      <c r="P25" s="30" t="str">
        <f t="shared" si="1"/>
        <v/>
      </c>
      <c r="Q25" s="65" t="str">
        <f t="shared" si="27"/>
        <v/>
      </c>
      <c r="R25" s="82" t="str">
        <f>IF(A25="","",IF(Q25="Refreshment Beverage",VLOOKUP(VALUE(P25),Rates!G$15:L$19,2,0),VLOOKUP(VALUE(P25),Rates!G$4:L$12,2,0)))</f>
        <v/>
      </c>
      <c r="S25" s="82" t="str">
        <f t="shared" si="2"/>
        <v/>
      </c>
      <c r="T25" s="31" t="str">
        <f>IF(A:A="","",SUM(V25/U25))</f>
        <v/>
      </c>
      <c r="U25" s="82" t="str">
        <f t="shared" si="3"/>
        <v/>
      </c>
      <c r="V25" s="82" t="str">
        <f t="shared" si="4"/>
        <v/>
      </c>
      <c r="W25" s="32" t="str">
        <f t="shared" si="5"/>
        <v/>
      </c>
      <c r="X25" s="33" t="str">
        <f>IF(A:A="","",IF(Q25="Refreshment Beverage",VLOOKUP(P25,Rates!G$15:L$19,6,0)*V25,VLOOKUP(P25,Rates!G$4:L$12,6,0)*V25))</f>
        <v/>
      </c>
      <c r="Y25" s="33" t="str">
        <f t="shared" si="6"/>
        <v/>
      </c>
      <c r="Z25" s="33" t="str">
        <f t="shared" si="7"/>
        <v/>
      </c>
      <c r="AA25" s="83" t="str">
        <f>IF(A:A="","",IF(Q25="Refreshment Beverage","",IF(AND(Q25="Beer",P25=0),SUM(LOOKUP(2,1/(Rates!$B$15:$B$18&lt;=V25)/(Rates!$C$15:$C$18&gt;=V25),Rates!$D$15:$D$18)*V25),VLOOKUP(VALUE(P:P),Rates!A:B,2,0)*V25)))</f>
        <v/>
      </c>
      <c r="AB25" s="83" t="str">
        <f>IF(A:A="","",IF(Q25="Refreshment Beverage","",IF(AND(Q25="Beer",P25=0),SUM(LOOKUP(2,1/(Rates!$B$15:$B$18&lt;=V25)/(Rates!$C$15:$C$18&gt;=V25),Rates!$E$15:$E$18)*V25),VLOOKUP(VALUE(P:P),Rates!A:C,3,0)*V25)))</f>
        <v/>
      </c>
      <c r="AC25" s="84" t="str">
        <f>IFERROR(IF(A:A="","",IF(Q25="Beer","",IF(VALUE(P25)=0,VLOOKUP(VLOOKUP(A:A,#REF!,16,0),Rates!A:E,2,0),VLOOKUP(VALUE(P25),Rates!A$31:B$34,2,0)*V25))),0)</f>
        <v/>
      </c>
      <c r="AD25" s="34" t="str">
        <f t="shared" si="8"/>
        <v/>
      </c>
      <c r="AE25" s="85" t="str">
        <f t="shared" si="9"/>
        <v/>
      </c>
      <c r="AF25" s="35" t="str">
        <f t="shared" si="10"/>
        <v/>
      </c>
      <c r="AG25" s="36" t="str">
        <f t="shared" si="11"/>
        <v/>
      </c>
      <c r="AH25" s="86" t="str">
        <f>IF(AD:AD="","",IF(Q25="Refreshment Beverage",AJ25*(Rates!J$19/100),ROUND(SUM(AG25*(Rates!$J$8/100)),4)))</f>
        <v/>
      </c>
      <c r="AI25" s="37" t="str">
        <f t="shared" si="12"/>
        <v/>
      </c>
      <c r="AJ25" s="38" t="str">
        <f t="shared" si="13"/>
        <v/>
      </c>
      <c r="AK25" s="34" t="str">
        <f t="shared" si="14"/>
        <v/>
      </c>
      <c r="AL25" s="85" t="str">
        <f>IF(AR25="","",IF(Q25="Refreshment Beverage",ROUND(AR25*Rates!K$19,4),ROUND(AN25*(VLOOKUP(VALUE(P25),Rates!G$4:L$12,3,0)),4)))</f>
        <v/>
      </c>
      <c r="AM25" s="39" t="str">
        <f>IF(AR25="","",IF(Q25="Refreshment Beverage",AR25*(Rates!J$19/100),MAX(AL25,AA25)))</f>
        <v/>
      </c>
      <c r="AN25" s="40" t="str">
        <f t="shared" si="41"/>
        <v/>
      </c>
      <c r="AO25" s="40" t="str">
        <f t="shared" si="45"/>
        <v/>
      </c>
      <c r="AP25" s="87" t="str">
        <f>IF(AR25="","",IF(Q25="Refreshment Beverage",ROUND(SUM(VLOOKUP(P:P,Rates!G$15:L$19,3,0)*(AR25-X25-Y25-Z25)),4),ROUND(SUM(Rates!$K$8*AR25),4)))</f>
        <v/>
      </c>
      <c r="AQ25" s="86" t="str">
        <f t="shared" si="46"/>
        <v/>
      </c>
      <c r="AR25" s="38" t="str">
        <f t="shared" si="18"/>
        <v/>
      </c>
      <c r="AS25" s="34" t="str">
        <f t="shared" si="42"/>
        <v/>
      </c>
      <c r="AT25" s="85" t="str">
        <f>IF(AW25="","",IF(Q25="Refreshment Beverage",ROUND((AZ25-X25-Y25-Z25)*VLOOKUP(VALUE(P25),Rates!G$15:L$19,3,0),4),ROUND(AV25*(VLOOKUP(VALUE(P25),Rates!G:L,3,0)),4)))</f>
        <v/>
      </c>
      <c r="AU25" s="39" t="str">
        <f t="shared" si="29"/>
        <v/>
      </c>
      <c r="AV25" s="40" t="str">
        <f t="shared" si="43"/>
        <v/>
      </c>
      <c r="AW25" s="36" t="str">
        <f t="shared" si="21"/>
        <v/>
      </c>
      <c r="AX25" s="87" t="str">
        <f>IF(AW25="","",IF(Q25="Refreshment Beverage",ROUND(SUM(AW25*Rates!K$19),4),ROUND(SUM(AW25*(Rates!J$8/100)),4)))</f>
        <v/>
      </c>
      <c r="AY25" s="37" t="str">
        <f t="shared" si="39"/>
        <v/>
      </c>
      <c r="AZ25" s="38" t="str">
        <f t="shared" si="44"/>
        <v/>
      </c>
      <c r="BB25" s="93"/>
      <c r="BC25" s="96"/>
      <c r="BD25" s="96"/>
      <c r="BE25" s="96"/>
      <c r="BF25" s="96"/>
    </row>
    <row r="26" spans="1:58" hidden="1" x14ac:dyDescent="0.2"/>
    <row r="27" spans="1:58" hidden="1" x14ac:dyDescent="0.2"/>
    <row r="28" spans="1:58" hidden="1" x14ac:dyDescent="0.2"/>
    <row r="29" spans="1:58" hidden="1" x14ac:dyDescent="0.2"/>
    <row r="30" spans="1:58" hidden="1" x14ac:dyDescent="0.2"/>
    <row r="31" spans="1:58" hidden="1" x14ac:dyDescent="0.2"/>
    <row r="32" spans="1:58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</sheetData>
  <sheetProtection algorithmName="SHA-512" hashValue="w+Pl2Mb5WModPf/wqKgl6ZttfMe5DH/FAfdATdO30A+8CZvTdi6EbQpCwDvdzWmKJjg+7ogQAe+orDGUTSXaiw==" saltValue="hV5qQPHHPbRNEJPXfVABQg==" spinCount="100000" sheet="1" objects="1" scenarios="1" selectLockedCells="1"/>
  <dataConsolidate/>
  <mergeCells count="3">
    <mergeCell ref="AD4:AJ4"/>
    <mergeCell ref="AK4:AR4"/>
    <mergeCell ref="AS4:AZ4"/>
  </mergeCells>
  <phoneticPr fontId="30" type="noConversion"/>
  <conditionalFormatting sqref="I5:I25">
    <cfRule type="containsText" dxfId="12" priority="10" operator="containsText" text="Licensee Retail">
      <formula>NOT(ISERROR(SEARCH("Licensee Retail",I5)))</formula>
    </cfRule>
    <cfRule type="containsText" dxfId="11" priority="154" operator="containsText" text="Gross Price to Brewers">
      <formula>NOT(ISERROR(SEARCH("Gross Price to Brewers",I5)))</formula>
    </cfRule>
    <cfRule type="containsText" dxfId="10" priority="155" operator="containsText" text="Retail Price">
      <formula>NOT(ISERROR(SEARCH("Retail Price",I5)))</formula>
    </cfRule>
  </conditionalFormatting>
  <conditionalFormatting sqref="O5:O1048576">
    <cfRule type="cellIs" dxfId="9" priority="9" operator="equal">
      <formula>"T"</formula>
    </cfRule>
  </conditionalFormatting>
  <conditionalFormatting sqref="J5:J25">
    <cfRule type="expression" dxfId="8" priority="151">
      <formula>MOD(ROW(),2)=1</formula>
    </cfRule>
  </conditionalFormatting>
  <conditionalFormatting sqref="K5:K25">
    <cfRule type="expression" dxfId="7" priority="150">
      <formula>MOD(ROW(),2)=1</formula>
    </cfRule>
  </conditionalFormatting>
  <conditionalFormatting sqref="L5:L25">
    <cfRule type="expression" dxfId="6" priority="149">
      <formula>MOD(ROW(),2)=1</formula>
    </cfRule>
  </conditionalFormatting>
  <conditionalFormatting sqref="M6:O25 A6:I25">
    <cfRule type="expression" dxfId="5" priority="161">
      <formula>MOD(ROW(),2)=1</formula>
    </cfRule>
  </conditionalFormatting>
  <conditionalFormatting sqref="A4:A1048576">
    <cfRule type="duplicateValues" dxfId="4" priority="8"/>
  </conditionalFormatting>
  <conditionalFormatting sqref="A1 A3">
    <cfRule type="duplicateValues" dxfId="3" priority="7"/>
  </conditionalFormatting>
  <conditionalFormatting sqref="Q1 Q3 N1:N1048576">
    <cfRule type="cellIs" dxfId="2" priority="5" operator="equal">
      <formula>"No"</formula>
    </cfRule>
  </conditionalFormatting>
  <conditionalFormatting sqref="A2">
    <cfRule type="duplicateValues" dxfId="1" priority="4"/>
  </conditionalFormatting>
  <conditionalFormatting sqref="Q2">
    <cfRule type="cellIs" dxfId="0" priority="2" operator="equal">
      <formula>"No"</formula>
    </cfRule>
  </conditionalFormatting>
  <dataValidations count="4">
    <dataValidation type="list" allowBlank="1" showInputMessage="1" showErrorMessage="1" sqref="I6:I25" xr:uid="{2457CC50-EBC0-41A8-8715-9B46D6DCFA26}">
      <formula1>"Gross Price to Brewers,Licensee Retail,Retail Price"</formula1>
    </dataValidation>
    <dataValidation type="list" allowBlank="1" showInputMessage="1" showErrorMessage="1" sqref="B6:B25" xr:uid="{97D3AAC0-C246-4A55-99D8-7C026EA8398E}">
      <formula1>"Beer,Refreshment Beverage"</formula1>
    </dataValidation>
    <dataValidation type="list" allowBlank="1" showInputMessage="1" showErrorMessage="1" sqref="F6:F25" xr:uid="{48E4B877-FAF8-4470-92BB-CB3A26227574}">
      <formula1>"Can,Bottle,Keg"</formula1>
    </dataValidation>
    <dataValidation type="list" allowBlank="1" showInputMessage="1" showErrorMessage="1" sqref="C6:C25" xr:uid="{67552AE1-7E26-4EA9-8682-834B512E741A}">
      <formula1>"1,2,3,4,5"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1406-B67A-427F-AA00-C0B7F4E79E2E}">
  <dimension ref="A1:D61"/>
  <sheetViews>
    <sheetView workbookViewId="0">
      <selection activeCell="A17" sqref="A17:D17"/>
    </sheetView>
  </sheetViews>
  <sheetFormatPr defaultRowHeight="15" x14ac:dyDescent="0.25"/>
  <cols>
    <col min="2" max="2" width="9.140625" style="9"/>
    <col min="3" max="3" width="12.7109375" customWidth="1"/>
    <col min="4" max="4" width="12.140625" customWidth="1"/>
  </cols>
  <sheetData>
    <row r="1" spans="1:4" ht="45" x14ac:dyDescent="0.25">
      <c r="A1" s="7" t="s">
        <v>31</v>
      </c>
      <c r="B1" s="7"/>
      <c r="C1" s="7" t="s">
        <v>32</v>
      </c>
      <c r="D1" s="7" t="s">
        <v>33</v>
      </c>
    </row>
    <row r="2" spans="1:4" x14ac:dyDescent="0.25">
      <c r="A2" s="70">
        <v>207</v>
      </c>
      <c r="B2" s="70">
        <f>A3-1</f>
        <v>249</v>
      </c>
      <c r="C2" s="70">
        <v>1.0764</v>
      </c>
      <c r="D2" s="70">
        <v>1.2316499999999999</v>
      </c>
    </row>
    <row r="3" spans="1:4" x14ac:dyDescent="0.25">
      <c r="A3" s="70">
        <v>250</v>
      </c>
      <c r="B3" s="70">
        <f t="shared" ref="B3:B60" si="0">A4-1</f>
        <v>299</v>
      </c>
      <c r="C3" s="70">
        <v>1.3040999999999998</v>
      </c>
      <c r="D3" s="70">
        <v>1.4903999999999997</v>
      </c>
    </row>
    <row r="4" spans="1:4" x14ac:dyDescent="0.25">
      <c r="A4" s="70">
        <v>300</v>
      </c>
      <c r="B4" s="70">
        <f t="shared" si="0"/>
        <v>319</v>
      </c>
      <c r="C4" s="70">
        <v>1.5628499999999999</v>
      </c>
      <c r="D4" s="70">
        <v>1.7905499999999999</v>
      </c>
    </row>
    <row r="5" spans="1:4" x14ac:dyDescent="0.25">
      <c r="A5" s="70">
        <v>320</v>
      </c>
      <c r="B5" s="70">
        <f t="shared" si="0"/>
        <v>329</v>
      </c>
      <c r="C5" s="70">
        <v>1.68</v>
      </c>
      <c r="D5" s="70">
        <v>1.91</v>
      </c>
    </row>
    <row r="6" spans="1:4" x14ac:dyDescent="0.25">
      <c r="A6" s="70">
        <v>330</v>
      </c>
      <c r="B6" s="70">
        <f t="shared" si="0"/>
        <v>339</v>
      </c>
      <c r="C6" s="70">
        <v>1.7180999999999997</v>
      </c>
      <c r="D6" s="70">
        <v>1.9664999999999997</v>
      </c>
    </row>
    <row r="7" spans="1:4" x14ac:dyDescent="0.25">
      <c r="A7" s="70">
        <v>340</v>
      </c>
      <c r="B7" s="70">
        <f t="shared" si="0"/>
        <v>340</v>
      </c>
      <c r="C7" s="70">
        <v>1.7698499999999999</v>
      </c>
      <c r="D7" s="70">
        <v>2.0078999999999998</v>
      </c>
    </row>
    <row r="8" spans="1:4" x14ac:dyDescent="0.25">
      <c r="A8" s="70">
        <v>341</v>
      </c>
      <c r="B8" s="70">
        <f t="shared" si="0"/>
        <v>354</v>
      </c>
      <c r="C8" s="70">
        <v>1.7801999999999998</v>
      </c>
      <c r="D8" s="70">
        <v>2.0286</v>
      </c>
    </row>
    <row r="9" spans="1:4" x14ac:dyDescent="0.25">
      <c r="A9" s="70">
        <v>355</v>
      </c>
      <c r="B9" s="70">
        <f t="shared" si="0"/>
        <v>374</v>
      </c>
      <c r="C9" s="70">
        <v>1.8526499999999999</v>
      </c>
      <c r="D9" s="70">
        <v>2.1113999999999997</v>
      </c>
    </row>
    <row r="10" spans="1:4" x14ac:dyDescent="0.25">
      <c r="A10" s="70">
        <v>375</v>
      </c>
      <c r="B10" s="70">
        <f t="shared" si="0"/>
        <v>439</v>
      </c>
      <c r="C10" s="70">
        <v>1.9561499999999998</v>
      </c>
      <c r="D10" s="70">
        <v>2.2355999999999998</v>
      </c>
    </row>
    <row r="11" spans="1:4" x14ac:dyDescent="0.25">
      <c r="A11" s="70">
        <v>440</v>
      </c>
      <c r="B11" s="70">
        <f t="shared" si="0"/>
        <v>449</v>
      </c>
      <c r="C11" s="70">
        <v>2.2976999999999999</v>
      </c>
      <c r="D11" s="70">
        <v>2.6185499999999995</v>
      </c>
    </row>
    <row r="12" spans="1:4" x14ac:dyDescent="0.25">
      <c r="A12" s="70">
        <v>450</v>
      </c>
      <c r="B12" s="70">
        <f t="shared" si="0"/>
        <v>472</v>
      </c>
      <c r="C12" s="70">
        <v>2.34945</v>
      </c>
      <c r="D12" s="70">
        <v>2.6806499999999995</v>
      </c>
    </row>
    <row r="13" spans="1:4" x14ac:dyDescent="0.25">
      <c r="A13" s="70">
        <v>473</v>
      </c>
      <c r="B13" s="70">
        <f t="shared" si="0"/>
        <v>499</v>
      </c>
      <c r="C13" s="70">
        <v>2.4736500000000001</v>
      </c>
      <c r="D13" s="70">
        <v>2.8151999999999999</v>
      </c>
    </row>
    <row r="14" spans="1:4" x14ac:dyDescent="0.25">
      <c r="A14" s="70">
        <v>500</v>
      </c>
      <c r="B14" s="70">
        <f t="shared" si="0"/>
        <v>599</v>
      </c>
      <c r="C14" s="70">
        <v>2.6185499999999995</v>
      </c>
      <c r="D14" s="70">
        <v>2.9807999999999995</v>
      </c>
    </row>
    <row r="15" spans="1:4" x14ac:dyDescent="0.25">
      <c r="A15" s="70">
        <v>600</v>
      </c>
      <c r="B15" s="70">
        <f t="shared" si="0"/>
        <v>624</v>
      </c>
      <c r="C15" s="70">
        <v>3.1463999999999999</v>
      </c>
      <c r="D15" s="70">
        <v>3.5810999999999997</v>
      </c>
    </row>
    <row r="16" spans="1:4" x14ac:dyDescent="0.25">
      <c r="A16" s="70">
        <v>625</v>
      </c>
      <c r="B16" s="70">
        <f t="shared" si="0"/>
        <v>649</v>
      </c>
      <c r="C16" s="70">
        <v>3.2809499999999998</v>
      </c>
      <c r="D16" s="70">
        <v>3.726</v>
      </c>
    </row>
    <row r="17" spans="1:4" x14ac:dyDescent="0.25">
      <c r="A17" s="70">
        <v>650</v>
      </c>
      <c r="B17" s="70">
        <f t="shared" si="0"/>
        <v>659</v>
      </c>
      <c r="C17" s="70">
        <v>3.4154999999999998</v>
      </c>
      <c r="D17" s="70">
        <v>3.8708999999999998</v>
      </c>
    </row>
    <row r="18" spans="1:4" x14ac:dyDescent="0.25">
      <c r="A18" s="70">
        <v>660</v>
      </c>
      <c r="B18" s="70">
        <f t="shared" si="0"/>
        <v>709</v>
      </c>
      <c r="C18" s="70">
        <v>3.4672499999999999</v>
      </c>
      <c r="D18" s="70">
        <v>3.9329999999999994</v>
      </c>
    </row>
    <row r="19" spans="1:4" x14ac:dyDescent="0.25">
      <c r="A19" s="70">
        <v>710</v>
      </c>
      <c r="B19" s="70">
        <f t="shared" si="0"/>
        <v>739</v>
      </c>
      <c r="C19" s="70">
        <v>3.7570499999999996</v>
      </c>
      <c r="D19" s="70">
        <v>4.2745499999999996</v>
      </c>
    </row>
    <row r="20" spans="1:4" x14ac:dyDescent="0.25">
      <c r="A20" s="70">
        <v>740</v>
      </c>
      <c r="B20" s="70">
        <f t="shared" si="0"/>
        <v>749</v>
      </c>
      <c r="C20" s="70">
        <v>3.9122999999999997</v>
      </c>
      <c r="D20" s="70">
        <v>4.4504999999999999</v>
      </c>
    </row>
    <row r="21" spans="1:4" x14ac:dyDescent="0.25">
      <c r="A21" s="70">
        <v>750</v>
      </c>
      <c r="B21" s="70">
        <f t="shared" si="0"/>
        <v>945</v>
      </c>
      <c r="C21" s="70">
        <v>3.9640499999999999</v>
      </c>
      <c r="D21" s="70">
        <v>4.5125999999999999</v>
      </c>
    </row>
    <row r="22" spans="1:4" x14ac:dyDescent="0.25">
      <c r="A22" s="70">
        <v>946</v>
      </c>
      <c r="B22" s="70">
        <f t="shared" si="0"/>
        <v>999</v>
      </c>
      <c r="C22" s="70">
        <v>4.9990499999999995</v>
      </c>
      <c r="D22" s="70">
        <v>5.6924999999999999</v>
      </c>
    </row>
    <row r="23" spans="1:4" x14ac:dyDescent="0.25">
      <c r="A23" s="70">
        <v>1000</v>
      </c>
      <c r="B23" s="70">
        <f t="shared" si="0"/>
        <v>1363</v>
      </c>
      <c r="C23" s="70">
        <v>5.2888500000000001</v>
      </c>
      <c r="D23" s="70">
        <v>6.0133499999999991</v>
      </c>
    </row>
    <row r="24" spans="1:4" x14ac:dyDescent="0.25">
      <c r="A24" s="70">
        <v>1364</v>
      </c>
      <c r="B24" s="70">
        <f t="shared" si="0"/>
        <v>1415</v>
      </c>
      <c r="C24" s="70">
        <v>7.22</v>
      </c>
      <c r="D24" s="70">
        <v>8.2100000000000009</v>
      </c>
    </row>
    <row r="25" spans="1:4" x14ac:dyDescent="0.25">
      <c r="A25" s="70">
        <v>1416</v>
      </c>
      <c r="B25" s="70">
        <f t="shared" si="0"/>
        <v>1419</v>
      </c>
      <c r="C25" s="70">
        <v>7.4933999999999994</v>
      </c>
      <c r="D25" s="70">
        <v>8.5180500000000006</v>
      </c>
    </row>
    <row r="26" spans="1:4" x14ac:dyDescent="0.25">
      <c r="A26" s="70">
        <v>1420</v>
      </c>
      <c r="B26" s="70">
        <f t="shared" si="0"/>
        <v>1887</v>
      </c>
      <c r="C26" s="70">
        <v>7.5140999999999991</v>
      </c>
      <c r="D26" s="70">
        <v>8.5387499999999985</v>
      </c>
    </row>
    <row r="27" spans="1:4" x14ac:dyDescent="0.25">
      <c r="A27" s="70">
        <v>1888</v>
      </c>
      <c r="B27" s="70">
        <f t="shared" si="0"/>
        <v>1889</v>
      </c>
      <c r="C27" s="70">
        <v>10.01</v>
      </c>
      <c r="D27" s="70">
        <v>11.35</v>
      </c>
    </row>
    <row r="28" spans="1:4" x14ac:dyDescent="0.25">
      <c r="A28" s="70">
        <v>1890</v>
      </c>
      <c r="B28" s="70">
        <f t="shared" si="0"/>
        <v>1891</v>
      </c>
      <c r="C28" s="70">
        <v>10.01</v>
      </c>
      <c r="D28" s="70">
        <v>11.353949999999999</v>
      </c>
    </row>
    <row r="29" spans="1:4" x14ac:dyDescent="0.25">
      <c r="A29" s="70">
        <v>1892</v>
      </c>
      <c r="B29" s="70">
        <f t="shared" si="0"/>
        <v>1979</v>
      </c>
      <c r="C29" s="70">
        <v>10.018799999999999</v>
      </c>
      <c r="D29" s="70">
        <v>11.3643</v>
      </c>
    </row>
    <row r="30" spans="1:4" x14ac:dyDescent="0.25">
      <c r="A30" s="70">
        <v>1980</v>
      </c>
      <c r="B30" s="70">
        <f t="shared" si="0"/>
        <v>1999</v>
      </c>
      <c r="C30" s="70">
        <v>10.474199999999998</v>
      </c>
      <c r="D30" s="70">
        <v>11.892149999999999</v>
      </c>
    </row>
    <row r="31" spans="1:4" x14ac:dyDescent="0.25">
      <c r="A31" s="70">
        <v>2000</v>
      </c>
      <c r="B31" s="70">
        <f t="shared" si="0"/>
        <v>2045</v>
      </c>
      <c r="C31" s="70">
        <v>10.5777</v>
      </c>
      <c r="D31" s="70">
        <v>12.016349999999999</v>
      </c>
    </row>
    <row r="32" spans="1:4" x14ac:dyDescent="0.25">
      <c r="A32" s="70">
        <v>2046</v>
      </c>
      <c r="B32" s="70">
        <f t="shared" si="0"/>
        <v>2129</v>
      </c>
      <c r="C32" s="70">
        <v>10.7433</v>
      </c>
      <c r="D32" s="70">
        <v>12.171599999999998</v>
      </c>
    </row>
    <row r="33" spans="1:4" x14ac:dyDescent="0.25">
      <c r="A33" s="70">
        <v>2130</v>
      </c>
      <c r="B33" s="70">
        <f t="shared" si="0"/>
        <v>2249</v>
      </c>
      <c r="C33" s="70">
        <v>11.177999999999999</v>
      </c>
      <c r="D33" s="70">
        <v>12.709799999999998</v>
      </c>
    </row>
    <row r="34" spans="1:4" x14ac:dyDescent="0.25">
      <c r="A34" s="70">
        <v>2250</v>
      </c>
      <c r="B34" s="70">
        <f t="shared" si="0"/>
        <v>2399</v>
      </c>
      <c r="C34" s="70">
        <v>11.81</v>
      </c>
      <c r="D34" s="70">
        <v>13.43</v>
      </c>
    </row>
    <row r="35" spans="1:4" x14ac:dyDescent="0.25">
      <c r="A35" s="70">
        <v>2400</v>
      </c>
      <c r="B35" s="70">
        <f t="shared" si="0"/>
        <v>2499</v>
      </c>
      <c r="C35" s="70">
        <v>11.64</v>
      </c>
      <c r="D35" s="70">
        <v>14.3</v>
      </c>
    </row>
    <row r="36" spans="1:4" x14ac:dyDescent="0.25">
      <c r="A36" s="70">
        <v>2500</v>
      </c>
      <c r="B36" s="70">
        <f t="shared" si="0"/>
        <v>2831</v>
      </c>
      <c r="C36" s="70">
        <v>13.123799999999999</v>
      </c>
      <c r="D36" s="70">
        <v>14.914349999999999</v>
      </c>
    </row>
    <row r="37" spans="1:4" x14ac:dyDescent="0.25">
      <c r="A37" s="70">
        <v>2832</v>
      </c>
      <c r="B37" s="70">
        <f t="shared" si="0"/>
        <v>2837</v>
      </c>
      <c r="C37" s="70">
        <v>14.893649999999999</v>
      </c>
      <c r="D37" s="70">
        <v>16.932599999999997</v>
      </c>
    </row>
    <row r="38" spans="1:4" x14ac:dyDescent="0.25">
      <c r="A38" s="70">
        <v>2838</v>
      </c>
      <c r="B38" s="70">
        <f t="shared" si="0"/>
        <v>2839</v>
      </c>
      <c r="C38" s="70">
        <v>14.9247</v>
      </c>
      <c r="D38" s="70">
        <v>16.963649999999998</v>
      </c>
    </row>
    <row r="39" spans="1:4" x14ac:dyDescent="0.25">
      <c r="A39" s="70">
        <v>2840</v>
      </c>
      <c r="B39" s="70">
        <f t="shared" si="0"/>
        <v>3519</v>
      </c>
      <c r="C39" s="70">
        <v>13.496399999999998</v>
      </c>
      <c r="D39" s="70">
        <v>15.349049999999998</v>
      </c>
    </row>
    <row r="40" spans="1:4" x14ac:dyDescent="0.25">
      <c r="A40" s="70">
        <v>3520</v>
      </c>
      <c r="B40" s="70">
        <f t="shared" si="0"/>
        <v>3783</v>
      </c>
      <c r="C40" s="70">
        <v>17.646750000000001</v>
      </c>
      <c r="D40" s="70">
        <v>20.068649999999998</v>
      </c>
    </row>
    <row r="41" spans="1:4" x14ac:dyDescent="0.25">
      <c r="A41" s="70">
        <v>3784</v>
      </c>
      <c r="B41" s="70">
        <f t="shared" si="0"/>
        <v>3959</v>
      </c>
      <c r="C41" s="70">
        <v>18.971549999999997</v>
      </c>
      <c r="D41" s="70">
        <v>21.569399999999998</v>
      </c>
    </row>
    <row r="42" spans="1:4" x14ac:dyDescent="0.25">
      <c r="A42" s="70">
        <v>3960</v>
      </c>
      <c r="B42" s="70">
        <f t="shared" si="0"/>
        <v>3999</v>
      </c>
      <c r="C42" s="70">
        <v>19.354499999999998</v>
      </c>
      <c r="D42" s="70">
        <v>22.148999999999997</v>
      </c>
    </row>
    <row r="43" spans="1:4" x14ac:dyDescent="0.25">
      <c r="A43" s="70">
        <v>4000</v>
      </c>
      <c r="B43" s="70">
        <f t="shared" si="0"/>
        <v>4079</v>
      </c>
      <c r="C43" s="70">
        <v>19.04</v>
      </c>
      <c r="D43" s="70">
        <v>21.76</v>
      </c>
    </row>
    <row r="44" spans="1:4" x14ac:dyDescent="0.25">
      <c r="A44" s="70">
        <v>4080</v>
      </c>
      <c r="B44" s="70">
        <f t="shared" si="0"/>
        <v>4091</v>
      </c>
      <c r="C44" s="70">
        <v>19.40625</v>
      </c>
      <c r="D44" s="70">
        <v>22.200749999999999</v>
      </c>
    </row>
    <row r="45" spans="1:4" x14ac:dyDescent="0.25">
      <c r="A45" s="70">
        <v>4092</v>
      </c>
      <c r="B45" s="70">
        <f t="shared" si="0"/>
        <v>4147</v>
      </c>
      <c r="C45" s="70">
        <v>19.468349999999997</v>
      </c>
      <c r="D45" s="70">
        <v>22.26285</v>
      </c>
    </row>
    <row r="46" spans="1:4" x14ac:dyDescent="0.25">
      <c r="A46" s="70">
        <v>4148</v>
      </c>
      <c r="B46" s="70">
        <f t="shared" si="0"/>
        <v>4259</v>
      </c>
      <c r="C46" s="70">
        <v>19.739999999999998</v>
      </c>
      <c r="D46" s="70">
        <v>22.57</v>
      </c>
    </row>
    <row r="47" spans="1:4" x14ac:dyDescent="0.25">
      <c r="A47" s="70">
        <v>4260</v>
      </c>
      <c r="B47" s="70">
        <f t="shared" si="0"/>
        <v>4317</v>
      </c>
      <c r="C47" s="70">
        <v>20.254949999999997</v>
      </c>
      <c r="D47" s="70">
        <v>23.028749999999999</v>
      </c>
    </row>
    <row r="48" spans="1:4" x14ac:dyDescent="0.25">
      <c r="A48" s="70">
        <v>4318</v>
      </c>
      <c r="B48" s="70">
        <f t="shared" si="0"/>
        <v>4999</v>
      </c>
      <c r="C48" s="70">
        <v>20.51</v>
      </c>
      <c r="D48" s="70">
        <v>23.36</v>
      </c>
    </row>
    <row r="49" spans="1:4" x14ac:dyDescent="0.25">
      <c r="A49" s="70">
        <v>5000</v>
      </c>
      <c r="B49" s="70">
        <f t="shared" si="0"/>
        <v>5114</v>
      </c>
      <c r="C49" s="70">
        <v>23.7636</v>
      </c>
      <c r="D49" s="70">
        <v>27.013500000000001</v>
      </c>
    </row>
    <row r="50" spans="1:4" x14ac:dyDescent="0.25">
      <c r="A50" s="70">
        <v>5115</v>
      </c>
      <c r="B50" s="70">
        <f t="shared" si="0"/>
        <v>5324</v>
      </c>
      <c r="C50" s="70">
        <v>24.312149999999995</v>
      </c>
      <c r="D50" s="70">
        <v>27.634499999999996</v>
      </c>
    </row>
    <row r="51" spans="1:4" x14ac:dyDescent="0.25">
      <c r="A51" s="70">
        <v>5325</v>
      </c>
      <c r="B51" s="70">
        <f t="shared" si="0"/>
        <v>5939</v>
      </c>
      <c r="C51" s="70">
        <v>25.305749999999996</v>
      </c>
      <c r="D51" s="70">
        <v>28.773</v>
      </c>
    </row>
    <row r="52" spans="1:4" x14ac:dyDescent="0.25">
      <c r="A52" s="70">
        <v>5940</v>
      </c>
      <c r="B52" s="70">
        <f t="shared" si="0"/>
        <v>6137</v>
      </c>
      <c r="C52" s="70">
        <v>29.11</v>
      </c>
      <c r="D52" s="70">
        <v>33.090000000000003</v>
      </c>
    </row>
    <row r="53" spans="1:4" x14ac:dyDescent="0.25">
      <c r="A53" s="70">
        <v>6138</v>
      </c>
      <c r="B53" s="70">
        <f t="shared" si="0"/>
        <v>6389</v>
      </c>
      <c r="C53" s="70">
        <v>30.056399999999996</v>
      </c>
      <c r="D53" s="70">
        <v>34.175699999999999</v>
      </c>
    </row>
    <row r="54" spans="1:4" x14ac:dyDescent="0.25">
      <c r="A54" s="70">
        <v>6390</v>
      </c>
      <c r="B54" s="70">
        <f t="shared" si="0"/>
        <v>6599</v>
      </c>
      <c r="C54" s="70">
        <v>31.184549999999998</v>
      </c>
      <c r="D54" s="70">
        <v>35.459099999999992</v>
      </c>
    </row>
    <row r="55" spans="1:4" x14ac:dyDescent="0.25">
      <c r="A55" s="70">
        <v>6600</v>
      </c>
      <c r="B55" s="70">
        <f t="shared" si="0"/>
        <v>7099</v>
      </c>
      <c r="C55" s="70">
        <v>32.21</v>
      </c>
      <c r="D55" s="70">
        <v>36.630000000000003</v>
      </c>
    </row>
    <row r="56" spans="1:4" x14ac:dyDescent="0.25">
      <c r="A56" s="70">
        <v>7100</v>
      </c>
      <c r="B56" s="70">
        <f t="shared" si="0"/>
        <v>7919</v>
      </c>
      <c r="C56" s="70">
        <v>33.927299999999995</v>
      </c>
      <c r="D56" s="70">
        <v>38.574449999999999</v>
      </c>
    </row>
    <row r="57" spans="1:4" x14ac:dyDescent="0.25">
      <c r="A57" s="70">
        <v>7920</v>
      </c>
      <c r="B57" s="70">
        <f t="shared" si="0"/>
        <v>8183</v>
      </c>
      <c r="C57" s="70">
        <v>37.84995</v>
      </c>
      <c r="D57" s="70">
        <v>43.024949999999997</v>
      </c>
    </row>
    <row r="58" spans="1:4" x14ac:dyDescent="0.25">
      <c r="A58" s="70">
        <v>8184</v>
      </c>
      <c r="B58" s="70">
        <f t="shared" si="0"/>
        <v>8519</v>
      </c>
      <c r="C58" s="70">
        <v>39.112649999999995</v>
      </c>
      <c r="D58" s="70">
        <v>44.4636</v>
      </c>
    </row>
    <row r="59" spans="1:4" x14ac:dyDescent="0.25">
      <c r="A59" s="70">
        <v>8520</v>
      </c>
      <c r="B59" s="70">
        <f t="shared" si="0"/>
        <v>8879</v>
      </c>
      <c r="C59" s="70">
        <v>40.499549999999999</v>
      </c>
      <c r="D59" s="70">
        <v>46.047150000000002</v>
      </c>
    </row>
    <row r="60" spans="1:4" x14ac:dyDescent="0.25">
      <c r="A60" s="70">
        <v>8880</v>
      </c>
      <c r="B60" s="70">
        <f t="shared" si="0"/>
        <v>10649</v>
      </c>
      <c r="C60" s="70">
        <v>42.18</v>
      </c>
      <c r="D60" s="70">
        <v>47.95</v>
      </c>
    </row>
    <row r="61" spans="1:4" x14ac:dyDescent="0.25">
      <c r="A61" s="70">
        <v>10650</v>
      </c>
      <c r="B61" s="70">
        <v>9999999</v>
      </c>
      <c r="C61" s="70">
        <v>47.34</v>
      </c>
      <c r="D61" s="70">
        <v>53.82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2"/>
  <sheetViews>
    <sheetView workbookViewId="0">
      <selection activeCell="E23" sqref="E23"/>
    </sheetView>
  </sheetViews>
  <sheetFormatPr defaultRowHeight="12.75" x14ac:dyDescent="0.2"/>
  <cols>
    <col min="1" max="1" width="25.85546875" style="1" bestFit="1" customWidth="1"/>
    <col min="2" max="2" width="10.7109375" style="1" customWidth="1"/>
    <col min="3" max="237" width="9.140625" style="1"/>
    <col min="238" max="238" width="2.7109375" style="1" customWidth="1"/>
    <col min="239" max="239" width="4.140625" style="1" customWidth="1"/>
    <col min="240" max="240" width="6" style="1" customWidth="1"/>
    <col min="241" max="241" width="14.42578125" style="1" customWidth="1"/>
    <col min="242" max="242" width="2.7109375" style="1" customWidth="1"/>
    <col min="243" max="243" width="9.140625" style="1"/>
    <col min="244" max="244" width="2.7109375" style="1" customWidth="1"/>
    <col min="245" max="246" width="9.140625" style="1"/>
    <col min="247" max="247" width="2.7109375" style="1" customWidth="1"/>
    <col min="248" max="248" width="5.85546875" style="1" customWidth="1"/>
    <col min="249" max="249" width="2.7109375" style="1" customWidth="1"/>
    <col min="250" max="250" width="9.140625" style="1"/>
    <col min="251" max="251" width="7.140625" style="1" customWidth="1"/>
    <col min="252" max="252" width="7" style="1" customWidth="1"/>
    <col min="253" max="493" width="9.140625" style="1"/>
    <col min="494" max="494" width="2.7109375" style="1" customWidth="1"/>
    <col min="495" max="495" width="4.140625" style="1" customWidth="1"/>
    <col min="496" max="496" width="6" style="1" customWidth="1"/>
    <col min="497" max="497" width="14.42578125" style="1" customWidth="1"/>
    <col min="498" max="498" width="2.7109375" style="1" customWidth="1"/>
    <col min="499" max="499" width="9.140625" style="1"/>
    <col min="500" max="500" width="2.7109375" style="1" customWidth="1"/>
    <col min="501" max="502" width="9.140625" style="1"/>
    <col min="503" max="503" width="2.7109375" style="1" customWidth="1"/>
    <col min="504" max="504" width="5.85546875" style="1" customWidth="1"/>
    <col min="505" max="505" width="2.7109375" style="1" customWidth="1"/>
    <col min="506" max="506" width="9.140625" style="1"/>
    <col min="507" max="507" width="7.140625" style="1" customWidth="1"/>
    <col min="508" max="508" width="7" style="1" customWidth="1"/>
    <col min="509" max="749" width="9.140625" style="1"/>
    <col min="750" max="750" width="2.7109375" style="1" customWidth="1"/>
    <col min="751" max="751" width="4.140625" style="1" customWidth="1"/>
    <col min="752" max="752" width="6" style="1" customWidth="1"/>
    <col min="753" max="753" width="14.42578125" style="1" customWidth="1"/>
    <col min="754" max="754" width="2.7109375" style="1" customWidth="1"/>
    <col min="755" max="755" width="9.140625" style="1"/>
    <col min="756" max="756" width="2.7109375" style="1" customWidth="1"/>
    <col min="757" max="758" width="9.140625" style="1"/>
    <col min="759" max="759" width="2.7109375" style="1" customWidth="1"/>
    <col min="760" max="760" width="5.85546875" style="1" customWidth="1"/>
    <col min="761" max="761" width="2.7109375" style="1" customWidth="1"/>
    <col min="762" max="762" width="9.140625" style="1"/>
    <col min="763" max="763" width="7.140625" style="1" customWidth="1"/>
    <col min="764" max="764" width="7" style="1" customWidth="1"/>
    <col min="765" max="1005" width="9.140625" style="1"/>
    <col min="1006" max="1006" width="2.7109375" style="1" customWidth="1"/>
    <col min="1007" max="1007" width="4.140625" style="1" customWidth="1"/>
    <col min="1008" max="1008" width="6" style="1" customWidth="1"/>
    <col min="1009" max="1009" width="14.42578125" style="1" customWidth="1"/>
    <col min="1010" max="1010" width="2.7109375" style="1" customWidth="1"/>
    <col min="1011" max="1011" width="9.140625" style="1"/>
    <col min="1012" max="1012" width="2.7109375" style="1" customWidth="1"/>
    <col min="1013" max="1014" width="9.140625" style="1"/>
    <col min="1015" max="1015" width="2.7109375" style="1" customWidth="1"/>
    <col min="1016" max="1016" width="5.85546875" style="1" customWidth="1"/>
    <col min="1017" max="1017" width="2.7109375" style="1" customWidth="1"/>
    <col min="1018" max="1018" width="9.140625" style="1"/>
    <col min="1019" max="1019" width="7.140625" style="1" customWidth="1"/>
    <col min="1020" max="1020" width="7" style="1" customWidth="1"/>
    <col min="1021" max="1261" width="9.140625" style="1"/>
    <col min="1262" max="1262" width="2.7109375" style="1" customWidth="1"/>
    <col min="1263" max="1263" width="4.140625" style="1" customWidth="1"/>
    <col min="1264" max="1264" width="6" style="1" customWidth="1"/>
    <col min="1265" max="1265" width="14.42578125" style="1" customWidth="1"/>
    <col min="1266" max="1266" width="2.7109375" style="1" customWidth="1"/>
    <col min="1267" max="1267" width="9.140625" style="1"/>
    <col min="1268" max="1268" width="2.7109375" style="1" customWidth="1"/>
    <col min="1269" max="1270" width="9.140625" style="1"/>
    <col min="1271" max="1271" width="2.7109375" style="1" customWidth="1"/>
    <col min="1272" max="1272" width="5.85546875" style="1" customWidth="1"/>
    <col min="1273" max="1273" width="2.7109375" style="1" customWidth="1"/>
    <col min="1274" max="1274" width="9.140625" style="1"/>
    <col min="1275" max="1275" width="7.140625" style="1" customWidth="1"/>
    <col min="1276" max="1276" width="7" style="1" customWidth="1"/>
    <col min="1277" max="1517" width="9.140625" style="1"/>
    <col min="1518" max="1518" width="2.7109375" style="1" customWidth="1"/>
    <col min="1519" max="1519" width="4.140625" style="1" customWidth="1"/>
    <col min="1520" max="1520" width="6" style="1" customWidth="1"/>
    <col min="1521" max="1521" width="14.42578125" style="1" customWidth="1"/>
    <col min="1522" max="1522" width="2.7109375" style="1" customWidth="1"/>
    <col min="1523" max="1523" width="9.140625" style="1"/>
    <col min="1524" max="1524" width="2.7109375" style="1" customWidth="1"/>
    <col min="1525" max="1526" width="9.140625" style="1"/>
    <col min="1527" max="1527" width="2.7109375" style="1" customWidth="1"/>
    <col min="1528" max="1528" width="5.85546875" style="1" customWidth="1"/>
    <col min="1529" max="1529" width="2.7109375" style="1" customWidth="1"/>
    <col min="1530" max="1530" width="9.140625" style="1"/>
    <col min="1531" max="1531" width="7.140625" style="1" customWidth="1"/>
    <col min="1532" max="1532" width="7" style="1" customWidth="1"/>
    <col min="1533" max="1773" width="9.140625" style="1"/>
    <col min="1774" max="1774" width="2.7109375" style="1" customWidth="1"/>
    <col min="1775" max="1775" width="4.140625" style="1" customWidth="1"/>
    <col min="1776" max="1776" width="6" style="1" customWidth="1"/>
    <col min="1777" max="1777" width="14.42578125" style="1" customWidth="1"/>
    <col min="1778" max="1778" width="2.7109375" style="1" customWidth="1"/>
    <col min="1779" max="1779" width="9.140625" style="1"/>
    <col min="1780" max="1780" width="2.7109375" style="1" customWidth="1"/>
    <col min="1781" max="1782" width="9.140625" style="1"/>
    <col min="1783" max="1783" width="2.7109375" style="1" customWidth="1"/>
    <col min="1784" max="1784" width="5.85546875" style="1" customWidth="1"/>
    <col min="1785" max="1785" width="2.7109375" style="1" customWidth="1"/>
    <col min="1786" max="1786" width="9.140625" style="1"/>
    <col min="1787" max="1787" width="7.140625" style="1" customWidth="1"/>
    <col min="1788" max="1788" width="7" style="1" customWidth="1"/>
    <col min="1789" max="2029" width="9.140625" style="1"/>
    <col min="2030" max="2030" width="2.7109375" style="1" customWidth="1"/>
    <col min="2031" max="2031" width="4.140625" style="1" customWidth="1"/>
    <col min="2032" max="2032" width="6" style="1" customWidth="1"/>
    <col min="2033" max="2033" width="14.42578125" style="1" customWidth="1"/>
    <col min="2034" max="2034" width="2.7109375" style="1" customWidth="1"/>
    <col min="2035" max="2035" width="9.140625" style="1"/>
    <col min="2036" max="2036" width="2.7109375" style="1" customWidth="1"/>
    <col min="2037" max="2038" width="9.140625" style="1"/>
    <col min="2039" max="2039" width="2.7109375" style="1" customWidth="1"/>
    <col min="2040" max="2040" width="5.85546875" style="1" customWidth="1"/>
    <col min="2041" max="2041" width="2.7109375" style="1" customWidth="1"/>
    <col min="2042" max="2042" width="9.140625" style="1"/>
    <col min="2043" max="2043" width="7.140625" style="1" customWidth="1"/>
    <col min="2044" max="2044" width="7" style="1" customWidth="1"/>
    <col min="2045" max="2285" width="9.140625" style="1"/>
    <col min="2286" max="2286" width="2.7109375" style="1" customWidth="1"/>
    <col min="2287" max="2287" width="4.140625" style="1" customWidth="1"/>
    <col min="2288" max="2288" width="6" style="1" customWidth="1"/>
    <col min="2289" max="2289" width="14.42578125" style="1" customWidth="1"/>
    <col min="2290" max="2290" width="2.7109375" style="1" customWidth="1"/>
    <col min="2291" max="2291" width="9.140625" style="1"/>
    <col min="2292" max="2292" width="2.7109375" style="1" customWidth="1"/>
    <col min="2293" max="2294" width="9.140625" style="1"/>
    <col min="2295" max="2295" width="2.7109375" style="1" customWidth="1"/>
    <col min="2296" max="2296" width="5.85546875" style="1" customWidth="1"/>
    <col min="2297" max="2297" width="2.7109375" style="1" customWidth="1"/>
    <col min="2298" max="2298" width="9.140625" style="1"/>
    <col min="2299" max="2299" width="7.140625" style="1" customWidth="1"/>
    <col min="2300" max="2300" width="7" style="1" customWidth="1"/>
    <col min="2301" max="2541" width="9.140625" style="1"/>
    <col min="2542" max="2542" width="2.7109375" style="1" customWidth="1"/>
    <col min="2543" max="2543" width="4.140625" style="1" customWidth="1"/>
    <col min="2544" max="2544" width="6" style="1" customWidth="1"/>
    <col min="2545" max="2545" width="14.42578125" style="1" customWidth="1"/>
    <col min="2546" max="2546" width="2.7109375" style="1" customWidth="1"/>
    <col min="2547" max="2547" width="9.140625" style="1"/>
    <col min="2548" max="2548" width="2.7109375" style="1" customWidth="1"/>
    <col min="2549" max="2550" width="9.140625" style="1"/>
    <col min="2551" max="2551" width="2.7109375" style="1" customWidth="1"/>
    <col min="2552" max="2552" width="5.85546875" style="1" customWidth="1"/>
    <col min="2553" max="2553" width="2.7109375" style="1" customWidth="1"/>
    <col min="2554" max="2554" width="9.140625" style="1"/>
    <col min="2555" max="2555" width="7.140625" style="1" customWidth="1"/>
    <col min="2556" max="2556" width="7" style="1" customWidth="1"/>
    <col min="2557" max="2797" width="9.140625" style="1"/>
    <col min="2798" max="2798" width="2.7109375" style="1" customWidth="1"/>
    <col min="2799" max="2799" width="4.140625" style="1" customWidth="1"/>
    <col min="2800" max="2800" width="6" style="1" customWidth="1"/>
    <col min="2801" max="2801" width="14.42578125" style="1" customWidth="1"/>
    <col min="2802" max="2802" width="2.7109375" style="1" customWidth="1"/>
    <col min="2803" max="2803" width="9.140625" style="1"/>
    <col min="2804" max="2804" width="2.7109375" style="1" customWidth="1"/>
    <col min="2805" max="2806" width="9.140625" style="1"/>
    <col min="2807" max="2807" width="2.7109375" style="1" customWidth="1"/>
    <col min="2808" max="2808" width="5.85546875" style="1" customWidth="1"/>
    <col min="2809" max="2809" width="2.7109375" style="1" customWidth="1"/>
    <col min="2810" max="2810" width="9.140625" style="1"/>
    <col min="2811" max="2811" width="7.140625" style="1" customWidth="1"/>
    <col min="2812" max="2812" width="7" style="1" customWidth="1"/>
    <col min="2813" max="3053" width="9.140625" style="1"/>
    <col min="3054" max="3054" width="2.7109375" style="1" customWidth="1"/>
    <col min="3055" max="3055" width="4.140625" style="1" customWidth="1"/>
    <col min="3056" max="3056" width="6" style="1" customWidth="1"/>
    <col min="3057" max="3057" width="14.42578125" style="1" customWidth="1"/>
    <col min="3058" max="3058" width="2.7109375" style="1" customWidth="1"/>
    <col min="3059" max="3059" width="9.140625" style="1"/>
    <col min="3060" max="3060" width="2.7109375" style="1" customWidth="1"/>
    <col min="3061" max="3062" width="9.140625" style="1"/>
    <col min="3063" max="3063" width="2.7109375" style="1" customWidth="1"/>
    <col min="3064" max="3064" width="5.85546875" style="1" customWidth="1"/>
    <col min="3065" max="3065" width="2.7109375" style="1" customWidth="1"/>
    <col min="3066" max="3066" width="9.140625" style="1"/>
    <col min="3067" max="3067" width="7.140625" style="1" customWidth="1"/>
    <col min="3068" max="3068" width="7" style="1" customWidth="1"/>
    <col min="3069" max="3309" width="9.140625" style="1"/>
    <col min="3310" max="3310" width="2.7109375" style="1" customWidth="1"/>
    <col min="3311" max="3311" width="4.140625" style="1" customWidth="1"/>
    <col min="3312" max="3312" width="6" style="1" customWidth="1"/>
    <col min="3313" max="3313" width="14.42578125" style="1" customWidth="1"/>
    <col min="3314" max="3314" width="2.7109375" style="1" customWidth="1"/>
    <col min="3315" max="3315" width="9.140625" style="1"/>
    <col min="3316" max="3316" width="2.7109375" style="1" customWidth="1"/>
    <col min="3317" max="3318" width="9.140625" style="1"/>
    <col min="3319" max="3319" width="2.7109375" style="1" customWidth="1"/>
    <col min="3320" max="3320" width="5.85546875" style="1" customWidth="1"/>
    <col min="3321" max="3321" width="2.7109375" style="1" customWidth="1"/>
    <col min="3322" max="3322" width="9.140625" style="1"/>
    <col min="3323" max="3323" width="7.140625" style="1" customWidth="1"/>
    <col min="3324" max="3324" width="7" style="1" customWidth="1"/>
    <col min="3325" max="3565" width="9.140625" style="1"/>
    <col min="3566" max="3566" width="2.7109375" style="1" customWidth="1"/>
    <col min="3567" max="3567" width="4.140625" style="1" customWidth="1"/>
    <col min="3568" max="3568" width="6" style="1" customWidth="1"/>
    <col min="3569" max="3569" width="14.42578125" style="1" customWidth="1"/>
    <col min="3570" max="3570" width="2.7109375" style="1" customWidth="1"/>
    <col min="3571" max="3571" width="9.140625" style="1"/>
    <col min="3572" max="3572" width="2.7109375" style="1" customWidth="1"/>
    <col min="3573" max="3574" width="9.140625" style="1"/>
    <col min="3575" max="3575" width="2.7109375" style="1" customWidth="1"/>
    <col min="3576" max="3576" width="5.85546875" style="1" customWidth="1"/>
    <col min="3577" max="3577" width="2.7109375" style="1" customWidth="1"/>
    <col min="3578" max="3578" width="9.140625" style="1"/>
    <col min="3579" max="3579" width="7.140625" style="1" customWidth="1"/>
    <col min="3580" max="3580" width="7" style="1" customWidth="1"/>
    <col min="3581" max="3821" width="9.140625" style="1"/>
    <col min="3822" max="3822" width="2.7109375" style="1" customWidth="1"/>
    <col min="3823" max="3823" width="4.140625" style="1" customWidth="1"/>
    <col min="3824" max="3824" width="6" style="1" customWidth="1"/>
    <col min="3825" max="3825" width="14.42578125" style="1" customWidth="1"/>
    <col min="3826" max="3826" width="2.7109375" style="1" customWidth="1"/>
    <col min="3827" max="3827" width="9.140625" style="1"/>
    <col min="3828" max="3828" width="2.7109375" style="1" customWidth="1"/>
    <col min="3829" max="3830" width="9.140625" style="1"/>
    <col min="3831" max="3831" width="2.7109375" style="1" customWidth="1"/>
    <col min="3832" max="3832" width="5.85546875" style="1" customWidth="1"/>
    <col min="3833" max="3833" width="2.7109375" style="1" customWidth="1"/>
    <col min="3834" max="3834" width="9.140625" style="1"/>
    <col min="3835" max="3835" width="7.140625" style="1" customWidth="1"/>
    <col min="3836" max="3836" width="7" style="1" customWidth="1"/>
    <col min="3837" max="4077" width="9.140625" style="1"/>
    <col min="4078" max="4078" width="2.7109375" style="1" customWidth="1"/>
    <col min="4079" max="4079" width="4.140625" style="1" customWidth="1"/>
    <col min="4080" max="4080" width="6" style="1" customWidth="1"/>
    <col min="4081" max="4081" width="14.42578125" style="1" customWidth="1"/>
    <col min="4082" max="4082" width="2.7109375" style="1" customWidth="1"/>
    <col min="4083" max="4083" width="9.140625" style="1"/>
    <col min="4084" max="4084" width="2.7109375" style="1" customWidth="1"/>
    <col min="4085" max="4086" width="9.140625" style="1"/>
    <col min="4087" max="4087" width="2.7109375" style="1" customWidth="1"/>
    <col min="4088" max="4088" width="5.85546875" style="1" customWidth="1"/>
    <col min="4089" max="4089" width="2.7109375" style="1" customWidth="1"/>
    <col min="4090" max="4090" width="9.140625" style="1"/>
    <col min="4091" max="4091" width="7.140625" style="1" customWidth="1"/>
    <col min="4092" max="4092" width="7" style="1" customWidth="1"/>
    <col min="4093" max="4333" width="9.140625" style="1"/>
    <col min="4334" max="4334" width="2.7109375" style="1" customWidth="1"/>
    <col min="4335" max="4335" width="4.140625" style="1" customWidth="1"/>
    <col min="4336" max="4336" width="6" style="1" customWidth="1"/>
    <col min="4337" max="4337" width="14.42578125" style="1" customWidth="1"/>
    <col min="4338" max="4338" width="2.7109375" style="1" customWidth="1"/>
    <col min="4339" max="4339" width="9.140625" style="1"/>
    <col min="4340" max="4340" width="2.7109375" style="1" customWidth="1"/>
    <col min="4341" max="4342" width="9.140625" style="1"/>
    <col min="4343" max="4343" width="2.7109375" style="1" customWidth="1"/>
    <col min="4344" max="4344" width="5.85546875" style="1" customWidth="1"/>
    <col min="4345" max="4345" width="2.7109375" style="1" customWidth="1"/>
    <col min="4346" max="4346" width="9.140625" style="1"/>
    <col min="4347" max="4347" width="7.140625" style="1" customWidth="1"/>
    <col min="4348" max="4348" width="7" style="1" customWidth="1"/>
    <col min="4349" max="4589" width="9.140625" style="1"/>
    <col min="4590" max="4590" width="2.7109375" style="1" customWidth="1"/>
    <col min="4591" max="4591" width="4.140625" style="1" customWidth="1"/>
    <col min="4592" max="4592" width="6" style="1" customWidth="1"/>
    <col min="4593" max="4593" width="14.42578125" style="1" customWidth="1"/>
    <col min="4594" max="4594" width="2.7109375" style="1" customWidth="1"/>
    <col min="4595" max="4595" width="9.140625" style="1"/>
    <col min="4596" max="4596" width="2.7109375" style="1" customWidth="1"/>
    <col min="4597" max="4598" width="9.140625" style="1"/>
    <col min="4599" max="4599" width="2.7109375" style="1" customWidth="1"/>
    <col min="4600" max="4600" width="5.85546875" style="1" customWidth="1"/>
    <col min="4601" max="4601" width="2.7109375" style="1" customWidth="1"/>
    <col min="4602" max="4602" width="9.140625" style="1"/>
    <col min="4603" max="4603" width="7.140625" style="1" customWidth="1"/>
    <col min="4604" max="4604" width="7" style="1" customWidth="1"/>
    <col min="4605" max="4845" width="9.140625" style="1"/>
    <col min="4846" max="4846" width="2.7109375" style="1" customWidth="1"/>
    <col min="4847" max="4847" width="4.140625" style="1" customWidth="1"/>
    <col min="4848" max="4848" width="6" style="1" customWidth="1"/>
    <col min="4849" max="4849" width="14.42578125" style="1" customWidth="1"/>
    <col min="4850" max="4850" width="2.7109375" style="1" customWidth="1"/>
    <col min="4851" max="4851" width="9.140625" style="1"/>
    <col min="4852" max="4852" width="2.7109375" style="1" customWidth="1"/>
    <col min="4853" max="4854" width="9.140625" style="1"/>
    <col min="4855" max="4855" width="2.7109375" style="1" customWidth="1"/>
    <col min="4856" max="4856" width="5.85546875" style="1" customWidth="1"/>
    <col min="4857" max="4857" width="2.7109375" style="1" customWidth="1"/>
    <col min="4858" max="4858" width="9.140625" style="1"/>
    <col min="4859" max="4859" width="7.140625" style="1" customWidth="1"/>
    <col min="4860" max="4860" width="7" style="1" customWidth="1"/>
    <col min="4861" max="5101" width="9.140625" style="1"/>
    <col min="5102" max="5102" width="2.7109375" style="1" customWidth="1"/>
    <col min="5103" max="5103" width="4.140625" style="1" customWidth="1"/>
    <col min="5104" max="5104" width="6" style="1" customWidth="1"/>
    <col min="5105" max="5105" width="14.42578125" style="1" customWidth="1"/>
    <col min="5106" max="5106" width="2.7109375" style="1" customWidth="1"/>
    <col min="5107" max="5107" width="9.140625" style="1"/>
    <col min="5108" max="5108" width="2.7109375" style="1" customWidth="1"/>
    <col min="5109" max="5110" width="9.140625" style="1"/>
    <col min="5111" max="5111" width="2.7109375" style="1" customWidth="1"/>
    <col min="5112" max="5112" width="5.85546875" style="1" customWidth="1"/>
    <col min="5113" max="5113" width="2.7109375" style="1" customWidth="1"/>
    <col min="5114" max="5114" width="9.140625" style="1"/>
    <col min="5115" max="5115" width="7.140625" style="1" customWidth="1"/>
    <col min="5116" max="5116" width="7" style="1" customWidth="1"/>
    <col min="5117" max="5357" width="9.140625" style="1"/>
    <col min="5358" max="5358" width="2.7109375" style="1" customWidth="1"/>
    <col min="5359" max="5359" width="4.140625" style="1" customWidth="1"/>
    <col min="5360" max="5360" width="6" style="1" customWidth="1"/>
    <col min="5361" max="5361" width="14.42578125" style="1" customWidth="1"/>
    <col min="5362" max="5362" width="2.7109375" style="1" customWidth="1"/>
    <col min="5363" max="5363" width="9.140625" style="1"/>
    <col min="5364" max="5364" width="2.7109375" style="1" customWidth="1"/>
    <col min="5365" max="5366" width="9.140625" style="1"/>
    <col min="5367" max="5367" width="2.7109375" style="1" customWidth="1"/>
    <col min="5368" max="5368" width="5.85546875" style="1" customWidth="1"/>
    <col min="5369" max="5369" width="2.7109375" style="1" customWidth="1"/>
    <col min="5370" max="5370" width="9.140625" style="1"/>
    <col min="5371" max="5371" width="7.140625" style="1" customWidth="1"/>
    <col min="5372" max="5372" width="7" style="1" customWidth="1"/>
    <col min="5373" max="5613" width="9.140625" style="1"/>
    <col min="5614" max="5614" width="2.7109375" style="1" customWidth="1"/>
    <col min="5615" max="5615" width="4.140625" style="1" customWidth="1"/>
    <col min="5616" max="5616" width="6" style="1" customWidth="1"/>
    <col min="5617" max="5617" width="14.42578125" style="1" customWidth="1"/>
    <col min="5618" max="5618" width="2.7109375" style="1" customWidth="1"/>
    <col min="5619" max="5619" width="9.140625" style="1"/>
    <col min="5620" max="5620" width="2.7109375" style="1" customWidth="1"/>
    <col min="5621" max="5622" width="9.140625" style="1"/>
    <col min="5623" max="5623" width="2.7109375" style="1" customWidth="1"/>
    <col min="5624" max="5624" width="5.85546875" style="1" customWidth="1"/>
    <col min="5625" max="5625" width="2.7109375" style="1" customWidth="1"/>
    <col min="5626" max="5626" width="9.140625" style="1"/>
    <col min="5627" max="5627" width="7.140625" style="1" customWidth="1"/>
    <col min="5628" max="5628" width="7" style="1" customWidth="1"/>
    <col min="5629" max="5869" width="9.140625" style="1"/>
    <col min="5870" max="5870" width="2.7109375" style="1" customWidth="1"/>
    <col min="5871" max="5871" width="4.140625" style="1" customWidth="1"/>
    <col min="5872" max="5872" width="6" style="1" customWidth="1"/>
    <col min="5873" max="5873" width="14.42578125" style="1" customWidth="1"/>
    <col min="5874" max="5874" width="2.7109375" style="1" customWidth="1"/>
    <col min="5875" max="5875" width="9.140625" style="1"/>
    <col min="5876" max="5876" width="2.7109375" style="1" customWidth="1"/>
    <col min="5877" max="5878" width="9.140625" style="1"/>
    <col min="5879" max="5879" width="2.7109375" style="1" customWidth="1"/>
    <col min="5880" max="5880" width="5.85546875" style="1" customWidth="1"/>
    <col min="5881" max="5881" width="2.7109375" style="1" customWidth="1"/>
    <col min="5882" max="5882" width="9.140625" style="1"/>
    <col min="5883" max="5883" width="7.140625" style="1" customWidth="1"/>
    <col min="5884" max="5884" width="7" style="1" customWidth="1"/>
    <col min="5885" max="6125" width="9.140625" style="1"/>
    <col min="6126" max="6126" width="2.7109375" style="1" customWidth="1"/>
    <col min="6127" max="6127" width="4.140625" style="1" customWidth="1"/>
    <col min="6128" max="6128" width="6" style="1" customWidth="1"/>
    <col min="6129" max="6129" width="14.42578125" style="1" customWidth="1"/>
    <col min="6130" max="6130" width="2.7109375" style="1" customWidth="1"/>
    <col min="6131" max="6131" width="9.140625" style="1"/>
    <col min="6132" max="6132" width="2.7109375" style="1" customWidth="1"/>
    <col min="6133" max="6134" width="9.140625" style="1"/>
    <col min="6135" max="6135" width="2.7109375" style="1" customWidth="1"/>
    <col min="6136" max="6136" width="5.85546875" style="1" customWidth="1"/>
    <col min="6137" max="6137" width="2.7109375" style="1" customWidth="1"/>
    <col min="6138" max="6138" width="9.140625" style="1"/>
    <col min="6139" max="6139" width="7.140625" style="1" customWidth="1"/>
    <col min="6140" max="6140" width="7" style="1" customWidth="1"/>
    <col min="6141" max="6381" width="9.140625" style="1"/>
    <col min="6382" max="6382" width="2.7109375" style="1" customWidth="1"/>
    <col min="6383" max="6383" width="4.140625" style="1" customWidth="1"/>
    <col min="6384" max="6384" width="6" style="1" customWidth="1"/>
    <col min="6385" max="6385" width="14.42578125" style="1" customWidth="1"/>
    <col min="6386" max="6386" width="2.7109375" style="1" customWidth="1"/>
    <col min="6387" max="6387" width="9.140625" style="1"/>
    <col min="6388" max="6388" width="2.7109375" style="1" customWidth="1"/>
    <col min="6389" max="6390" width="9.140625" style="1"/>
    <col min="6391" max="6391" width="2.7109375" style="1" customWidth="1"/>
    <col min="6392" max="6392" width="5.85546875" style="1" customWidth="1"/>
    <col min="6393" max="6393" width="2.7109375" style="1" customWidth="1"/>
    <col min="6394" max="6394" width="9.140625" style="1"/>
    <col min="6395" max="6395" width="7.140625" style="1" customWidth="1"/>
    <col min="6396" max="6396" width="7" style="1" customWidth="1"/>
    <col min="6397" max="6637" width="9.140625" style="1"/>
    <col min="6638" max="6638" width="2.7109375" style="1" customWidth="1"/>
    <col min="6639" max="6639" width="4.140625" style="1" customWidth="1"/>
    <col min="6640" max="6640" width="6" style="1" customWidth="1"/>
    <col min="6641" max="6641" width="14.42578125" style="1" customWidth="1"/>
    <col min="6642" max="6642" width="2.7109375" style="1" customWidth="1"/>
    <col min="6643" max="6643" width="9.140625" style="1"/>
    <col min="6644" max="6644" width="2.7109375" style="1" customWidth="1"/>
    <col min="6645" max="6646" width="9.140625" style="1"/>
    <col min="6647" max="6647" width="2.7109375" style="1" customWidth="1"/>
    <col min="6648" max="6648" width="5.85546875" style="1" customWidth="1"/>
    <col min="6649" max="6649" width="2.7109375" style="1" customWidth="1"/>
    <col min="6650" max="6650" width="9.140625" style="1"/>
    <col min="6651" max="6651" width="7.140625" style="1" customWidth="1"/>
    <col min="6652" max="6652" width="7" style="1" customWidth="1"/>
    <col min="6653" max="6893" width="9.140625" style="1"/>
    <col min="6894" max="6894" width="2.7109375" style="1" customWidth="1"/>
    <col min="6895" max="6895" width="4.140625" style="1" customWidth="1"/>
    <col min="6896" max="6896" width="6" style="1" customWidth="1"/>
    <col min="6897" max="6897" width="14.42578125" style="1" customWidth="1"/>
    <col min="6898" max="6898" width="2.7109375" style="1" customWidth="1"/>
    <col min="6899" max="6899" width="9.140625" style="1"/>
    <col min="6900" max="6900" width="2.7109375" style="1" customWidth="1"/>
    <col min="6901" max="6902" width="9.140625" style="1"/>
    <col min="6903" max="6903" width="2.7109375" style="1" customWidth="1"/>
    <col min="6904" max="6904" width="5.85546875" style="1" customWidth="1"/>
    <col min="6905" max="6905" width="2.7109375" style="1" customWidth="1"/>
    <col min="6906" max="6906" width="9.140625" style="1"/>
    <col min="6907" max="6907" width="7.140625" style="1" customWidth="1"/>
    <col min="6908" max="6908" width="7" style="1" customWidth="1"/>
    <col min="6909" max="7149" width="9.140625" style="1"/>
    <col min="7150" max="7150" width="2.7109375" style="1" customWidth="1"/>
    <col min="7151" max="7151" width="4.140625" style="1" customWidth="1"/>
    <col min="7152" max="7152" width="6" style="1" customWidth="1"/>
    <col min="7153" max="7153" width="14.42578125" style="1" customWidth="1"/>
    <col min="7154" max="7154" width="2.7109375" style="1" customWidth="1"/>
    <col min="7155" max="7155" width="9.140625" style="1"/>
    <col min="7156" max="7156" width="2.7109375" style="1" customWidth="1"/>
    <col min="7157" max="7158" width="9.140625" style="1"/>
    <col min="7159" max="7159" width="2.7109375" style="1" customWidth="1"/>
    <col min="7160" max="7160" width="5.85546875" style="1" customWidth="1"/>
    <col min="7161" max="7161" width="2.7109375" style="1" customWidth="1"/>
    <col min="7162" max="7162" width="9.140625" style="1"/>
    <col min="7163" max="7163" width="7.140625" style="1" customWidth="1"/>
    <col min="7164" max="7164" width="7" style="1" customWidth="1"/>
    <col min="7165" max="7405" width="9.140625" style="1"/>
    <col min="7406" max="7406" width="2.7109375" style="1" customWidth="1"/>
    <col min="7407" max="7407" width="4.140625" style="1" customWidth="1"/>
    <col min="7408" max="7408" width="6" style="1" customWidth="1"/>
    <col min="7409" max="7409" width="14.42578125" style="1" customWidth="1"/>
    <col min="7410" max="7410" width="2.7109375" style="1" customWidth="1"/>
    <col min="7411" max="7411" width="9.140625" style="1"/>
    <col min="7412" max="7412" width="2.7109375" style="1" customWidth="1"/>
    <col min="7413" max="7414" width="9.140625" style="1"/>
    <col min="7415" max="7415" width="2.7109375" style="1" customWidth="1"/>
    <col min="7416" max="7416" width="5.85546875" style="1" customWidth="1"/>
    <col min="7417" max="7417" width="2.7109375" style="1" customWidth="1"/>
    <col min="7418" max="7418" width="9.140625" style="1"/>
    <col min="7419" max="7419" width="7.140625" style="1" customWidth="1"/>
    <col min="7420" max="7420" width="7" style="1" customWidth="1"/>
    <col min="7421" max="7661" width="9.140625" style="1"/>
    <col min="7662" max="7662" width="2.7109375" style="1" customWidth="1"/>
    <col min="7663" max="7663" width="4.140625" style="1" customWidth="1"/>
    <col min="7664" max="7664" width="6" style="1" customWidth="1"/>
    <col min="7665" max="7665" width="14.42578125" style="1" customWidth="1"/>
    <col min="7666" max="7666" width="2.7109375" style="1" customWidth="1"/>
    <col min="7667" max="7667" width="9.140625" style="1"/>
    <col min="7668" max="7668" width="2.7109375" style="1" customWidth="1"/>
    <col min="7669" max="7670" width="9.140625" style="1"/>
    <col min="7671" max="7671" width="2.7109375" style="1" customWidth="1"/>
    <col min="7672" max="7672" width="5.85546875" style="1" customWidth="1"/>
    <col min="7673" max="7673" width="2.7109375" style="1" customWidth="1"/>
    <col min="7674" max="7674" width="9.140625" style="1"/>
    <col min="7675" max="7675" width="7.140625" style="1" customWidth="1"/>
    <col min="7676" max="7676" width="7" style="1" customWidth="1"/>
    <col min="7677" max="7917" width="9.140625" style="1"/>
    <col min="7918" max="7918" width="2.7109375" style="1" customWidth="1"/>
    <col min="7919" max="7919" width="4.140625" style="1" customWidth="1"/>
    <col min="7920" max="7920" width="6" style="1" customWidth="1"/>
    <col min="7921" max="7921" width="14.42578125" style="1" customWidth="1"/>
    <col min="7922" max="7922" width="2.7109375" style="1" customWidth="1"/>
    <col min="7923" max="7923" width="9.140625" style="1"/>
    <col min="7924" max="7924" width="2.7109375" style="1" customWidth="1"/>
    <col min="7925" max="7926" width="9.140625" style="1"/>
    <col min="7927" max="7927" width="2.7109375" style="1" customWidth="1"/>
    <col min="7928" max="7928" width="5.85546875" style="1" customWidth="1"/>
    <col min="7929" max="7929" width="2.7109375" style="1" customWidth="1"/>
    <col min="7930" max="7930" width="9.140625" style="1"/>
    <col min="7931" max="7931" width="7.140625" style="1" customWidth="1"/>
    <col min="7932" max="7932" width="7" style="1" customWidth="1"/>
    <col min="7933" max="8173" width="9.140625" style="1"/>
    <col min="8174" max="8174" width="2.7109375" style="1" customWidth="1"/>
    <col min="8175" max="8175" width="4.140625" style="1" customWidth="1"/>
    <col min="8176" max="8176" width="6" style="1" customWidth="1"/>
    <col min="8177" max="8177" width="14.42578125" style="1" customWidth="1"/>
    <col min="8178" max="8178" width="2.7109375" style="1" customWidth="1"/>
    <col min="8179" max="8179" width="9.140625" style="1"/>
    <col min="8180" max="8180" width="2.7109375" style="1" customWidth="1"/>
    <col min="8181" max="8182" width="9.140625" style="1"/>
    <col min="8183" max="8183" width="2.7109375" style="1" customWidth="1"/>
    <col min="8184" max="8184" width="5.85546875" style="1" customWidth="1"/>
    <col min="8185" max="8185" width="2.7109375" style="1" customWidth="1"/>
    <col min="8186" max="8186" width="9.140625" style="1"/>
    <col min="8187" max="8187" width="7.140625" style="1" customWidth="1"/>
    <col min="8188" max="8188" width="7" style="1" customWidth="1"/>
    <col min="8189" max="8429" width="9.140625" style="1"/>
    <col min="8430" max="8430" width="2.7109375" style="1" customWidth="1"/>
    <col min="8431" max="8431" width="4.140625" style="1" customWidth="1"/>
    <col min="8432" max="8432" width="6" style="1" customWidth="1"/>
    <col min="8433" max="8433" width="14.42578125" style="1" customWidth="1"/>
    <col min="8434" max="8434" width="2.7109375" style="1" customWidth="1"/>
    <col min="8435" max="8435" width="9.140625" style="1"/>
    <col min="8436" max="8436" width="2.7109375" style="1" customWidth="1"/>
    <col min="8437" max="8438" width="9.140625" style="1"/>
    <col min="8439" max="8439" width="2.7109375" style="1" customWidth="1"/>
    <col min="8440" max="8440" width="5.85546875" style="1" customWidth="1"/>
    <col min="8441" max="8441" width="2.7109375" style="1" customWidth="1"/>
    <col min="8442" max="8442" width="9.140625" style="1"/>
    <col min="8443" max="8443" width="7.140625" style="1" customWidth="1"/>
    <col min="8444" max="8444" width="7" style="1" customWidth="1"/>
    <col min="8445" max="8685" width="9.140625" style="1"/>
    <col min="8686" max="8686" width="2.7109375" style="1" customWidth="1"/>
    <col min="8687" max="8687" width="4.140625" style="1" customWidth="1"/>
    <col min="8688" max="8688" width="6" style="1" customWidth="1"/>
    <col min="8689" max="8689" width="14.42578125" style="1" customWidth="1"/>
    <col min="8690" max="8690" width="2.7109375" style="1" customWidth="1"/>
    <col min="8691" max="8691" width="9.140625" style="1"/>
    <col min="8692" max="8692" width="2.7109375" style="1" customWidth="1"/>
    <col min="8693" max="8694" width="9.140625" style="1"/>
    <col min="8695" max="8695" width="2.7109375" style="1" customWidth="1"/>
    <col min="8696" max="8696" width="5.85546875" style="1" customWidth="1"/>
    <col min="8697" max="8697" width="2.7109375" style="1" customWidth="1"/>
    <col min="8698" max="8698" width="9.140625" style="1"/>
    <col min="8699" max="8699" width="7.140625" style="1" customWidth="1"/>
    <col min="8700" max="8700" width="7" style="1" customWidth="1"/>
    <col min="8701" max="8941" width="9.140625" style="1"/>
    <col min="8942" max="8942" width="2.7109375" style="1" customWidth="1"/>
    <col min="8943" max="8943" width="4.140625" style="1" customWidth="1"/>
    <col min="8944" max="8944" width="6" style="1" customWidth="1"/>
    <col min="8945" max="8945" width="14.42578125" style="1" customWidth="1"/>
    <col min="8946" max="8946" width="2.7109375" style="1" customWidth="1"/>
    <col min="8947" max="8947" width="9.140625" style="1"/>
    <col min="8948" max="8948" width="2.7109375" style="1" customWidth="1"/>
    <col min="8949" max="8950" width="9.140625" style="1"/>
    <col min="8951" max="8951" width="2.7109375" style="1" customWidth="1"/>
    <col min="8952" max="8952" width="5.85546875" style="1" customWidth="1"/>
    <col min="8953" max="8953" width="2.7109375" style="1" customWidth="1"/>
    <col min="8954" max="8954" width="9.140625" style="1"/>
    <col min="8955" max="8955" width="7.140625" style="1" customWidth="1"/>
    <col min="8956" max="8956" width="7" style="1" customWidth="1"/>
    <col min="8957" max="9197" width="9.140625" style="1"/>
    <col min="9198" max="9198" width="2.7109375" style="1" customWidth="1"/>
    <col min="9199" max="9199" width="4.140625" style="1" customWidth="1"/>
    <col min="9200" max="9200" width="6" style="1" customWidth="1"/>
    <col min="9201" max="9201" width="14.42578125" style="1" customWidth="1"/>
    <col min="9202" max="9202" width="2.7109375" style="1" customWidth="1"/>
    <col min="9203" max="9203" width="9.140625" style="1"/>
    <col min="9204" max="9204" width="2.7109375" style="1" customWidth="1"/>
    <col min="9205" max="9206" width="9.140625" style="1"/>
    <col min="9207" max="9207" width="2.7109375" style="1" customWidth="1"/>
    <col min="9208" max="9208" width="5.85546875" style="1" customWidth="1"/>
    <col min="9209" max="9209" width="2.7109375" style="1" customWidth="1"/>
    <col min="9210" max="9210" width="9.140625" style="1"/>
    <col min="9211" max="9211" width="7.140625" style="1" customWidth="1"/>
    <col min="9212" max="9212" width="7" style="1" customWidth="1"/>
    <col min="9213" max="9453" width="9.140625" style="1"/>
    <col min="9454" max="9454" width="2.7109375" style="1" customWidth="1"/>
    <col min="9455" max="9455" width="4.140625" style="1" customWidth="1"/>
    <col min="9456" max="9456" width="6" style="1" customWidth="1"/>
    <col min="9457" max="9457" width="14.42578125" style="1" customWidth="1"/>
    <col min="9458" max="9458" width="2.7109375" style="1" customWidth="1"/>
    <col min="9459" max="9459" width="9.140625" style="1"/>
    <col min="9460" max="9460" width="2.7109375" style="1" customWidth="1"/>
    <col min="9461" max="9462" width="9.140625" style="1"/>
    <col min="9463" max="9463" width="2.7109375" style="1" customWidth="1"/>
    <col min="9464" max="9464" width="5.85546875" style="1" customWidth="1"/>
    <col min="9465" max="9465" width="2.7109375" style="1" customWidth="1"/>
    <col min="9466" max="9466" width="9.140625" style="1"/>
    <col min="9467" max="9467" width="7.140625" style="1" customWidth="1"/>
    <col min="9468" max="9468" width="7" style="1" customWidth="1"/>
    <col min="9469" max="9709" width="9.140625" style="1"/>
    <col min="9710" max="9710" width="2.7109375" style="1" customWidth="1"/>
    <col min="9711" max="9711" width="4.140625" style="1" customWidth="1"/>
    <col min="9712" max="9712" width="6" style="1" customWidth="1"/>
    <col min="9713" max="9713" width="14.42578125" style="1" customWidth="1"/>
    <col min="9714" max="9714" width="2.7109375" style="1" customWidth="1"/>
    <col min="9715" max="9715" width="9.140625" style="1"/>
    <col min="9716" max="9716" width="2.7109375" style="1" customWidth="1"/>
    <col min="9717" max="9718" width="9.140625" style="1"/>
    <col min="9719" max="9719" width="2.7109375" style="1" customWidth="1"/>
    <col min="9720" max="9720" width="5.85546875" style="1" customWidth="1"/>
    <col min="9721" max="9721" width="2.7109375" style="1" customWidth="1"/>
    <col min="9722" max="9722" width="9.140625" style="1"/>
    <col min="9723" max="9723" width="7.140625" style="1" customWidth="1"/>
    <col min="9724" max="9724" width="7" style="1" customWidth="1"/>
    <col min="9725" max="9965" width="9.140625" style="1"/>
    <col min="9966" max="9966" width="2.7109375" style="1" customWidth="1"/>
    <col min="9967" max="9967" width="4.140625" style="1" customWidth="1"/>
    <col min="9968" max="9968" width="6" style="1" customWidth="1"/>
    <col min="9969" max="9969" width="14.42578125" style="1" customWidth="1"/>
    <col min="9970" max="9970" width="2.7109375" style="1" customWidth="1"/>
    <col min="9971" max="9971" width="9.140625" style="1"/>
    <col min="9972" max="9972" width="2.7109375" style="1" customWidth="1"/>
    <col min="9973" max="9974" width="9.140625" style="1"/>
    <col min="9975" max="9975" width="2.7109375" style="1" customWidth="1"/>
    <col min="9976" max="9976" width="5.85546875" style="1" customWidth="1"/>
    <col min="9977" max="9977" width="2.7109375" style="1" customWidth="1"/>
    <col min="9978" max="9978" width="9.140625" style="1"/>
    <col min="9979" max="9979" width="7.140625" style="1" customWidth="1"/>
    <col min="9980" max="9980" width="7" style="1" customWidth="1"/>
    <col min="9981" max="10221" width="9.140625" style="1"/>
    <col min="10222" max="10222" width="2.7109375" style="1" customWidth="1"/>
    <col min="10223" max="10223" width="4.140625" style="1" customWidth="1"/>
    <col min="10224" max="10224" width="6" style="1" customWidth="1"/>
    <col min="10225" max="10225" width="14.42578125" style="1" customWidth="1"/>
    <col min="10226" max="10226" width="2.7109375" style="1" customWidth="1"/>
    <col min="10227" max="10227" width="9.140625" style="1"/>
    <col min="10228" max="10228" width="2.7109375" style="1" customWidth="1"/>
    <col min="10229" max="10230" width="9.140625" style="1"/>
    <col min="10231" max="10231" width="2.7109375" style="1" customWidth="1"/>
    <col min="10232" max="10232" width="5.85546875" style="1" customWidth="1"/>
    <col min="10233" max="10233" width="2.7109375" style="1" customWidth="1"/>
    <col min="10234" max="10234" width="9.140625" style="1"/>
    <col min="10235" max="10235" width="7.140625" style="1" customWidth="1"/>
    <col min="10236" max="10236" width="7" style="1" customWidth="1"/>
    <col min="10237" max="10477" width="9.140625" style="1"/>
    <col min="10478" max="10478" width="2.7109375" style="1" customWidth="1"/>
    <col min="10479" max="10479" width="4.140625" style="1" customWidth="1"/>
    <col min="10480" max="10480" width="6" style="1" customWidth="1"/>
    <col min="10481" max="10481" width="14.42578125" style="1" customWidth="1"/>
    <col min="10482" max="10482" width="2.7109375" style="1" customWidth="1"/>
    <col min="10483" max="10483" width="9.140625" style="1"/>
    <col min="10484" max="10484" width="2.7109375" style="1" customWidth="1"/>
    <col min="10485" max="10486" width="9.140625" style="1"/>
    <col min="10487" max="10487" width="2.7109375" style="1" customWidth="1"/>
    <col min="10488" max="10488" width="5.85546875" style="1" customWidth="1"/>
    <col min="10489" max="10489" width="2.7109375" style="1" customWidth="1"/>
    <col min="10490" max="10490" width="9.140625" style="1"/>
    <col min="10491" max="10491" width="7.140625" style="1" customWidth="1"/>
    <col min="10492" max="10492" width="7" style="1" customWidth="1"/>
    <col min="10493" max="10733" width="9.140625" style="1"/>
    <col min="10734" max="10734" width="2.7109375" style="1" customWidth="1"/>
    <col min="10735" max="10735" width="4.140625" style="1" customWidth="1"/>
    <col min="10736" max="10736" width="6" style="1" customWidth="1"/>
    <col min="10737" max="10737" width="14.42578125" style="1" customWidth="1"/>
    <col min="10738" max="10738" width="2.7109375" style="1" customWidth="1"/>
    <col min="10739" max="10739" width="9.140625" style="1"/>
    <col min="10740" max="10740" width="2.7109375" style="1" customWidth="1"/>
    <col min="10741" max="10742" width="9.140625" style="1"/>
    <col min="10743" max="10743" width="2.7109375" style="1" customWidth="1"/>
    <col min="10744" max="10744" width="5.85546875" style="1" customWidth="1"/>
    <col min="10745" max="10745" width="2.7109375" style="1" customWidth="1"/>
    <col min="10746" max="10746" width="9.140625" style="1"/>
    <col min="10747" max="10747" width="7.140625" style="1" customWidth="1"/>
    <col min="10748" max="10748" width="7" style="1" customWidth="1"/>
    <col min="10749" max="10989" width="9.140625" style="1"/>
    <col min="10990" max="10990" width="2.7109375" style="1" customWidth="1"/>
    <col min="10991" max="10991" width="4.140625" style="1" customWidth="1"/>
    <col min="10992" max="10992" width="6" style="1" customWidth="1"/>
    <col min="10993" max="10993" width="14.42578125" style="1" customWidth="1"/>
    <col min="10994" max="10994" width="2.7109375" style="1" customWidth="1"/>
    <col min="10995" max="10995" width="9.140625" style="1"/>
    <col min="10996" max="10996" width="2.7109375" style="1" customWidth="1"/>
    <col min="10997" max="10998" width="9.140625" style="1"/>
    <col min="10999" max="10999" width="2.7109375" style="1" customWidth="1"/>
    <col min="11000" max="11000" width="5.85546875" style="1" customWidth="1"/>
    <col min="11001" max="11001" width="2.7109375" style="1" customWidth="1"/>
    <col min="11002" max="11002" width="9.140625" style="1"/>
    <col min="11003" max="11003" width="7.140625" style="1" customWidth="1"/>
    <col min="11004" max="11004" width="7" style="1" customWidth="1"/>
    <col min="11005" max="11245" width="9.140625" style="1"/>
    <col min="11246" max="11246" width="2.7109375" style="1" customWidth="1"/>
    <col min="11247" max="11247" width="4.140625" style="1" customWidth="1"/>
    <col min="11248" max="11248" width="6" style="1" customWidth="1"/>
    <col min="11249" max="11249" width="14.42578125" style="1" customWidth="1"/>
    <col min="11250" max="11250" width="2.7109375" style="1" customWidth="1"/>
    <col min="11251" max="11251" width="9.140625" style="1"/>
    <col min="11252" max="11252" width="2.7109375" style="1" customWidth="1"/>
    <col min="11253" max="11254" width="9.140625" style="1"/>
    <col min="11255" max="11255" width="2.7109375" style="1" customWidth="1"/>
    <col min="11256" max="11256" width="5.85546875" style="1" customWidth="1"/>
    <col min="11257" max="11257" width="2.7109375" style="1" customWidth="1"/>
    <col min="11258" max="11258" width="9.140625" style="1"/>
    <col min="11259" max="11259" width="7.140625" style="1" customWidth="1"/>
    <col min="11260" max="11260" width="7" style="1" customWidth="1"/>
    <col min="11261" max="11501" width="9.140625" style="1"/>
    <col min="11502" max="11502" width="2.7109375" style="1" customWidth="1"/>
    <col min="11503" max="11503" width="4.140625" style="1" customWidth="1"/>
    <col min="11504" max="11504" width="6" style="1" customWidth="1"/>
    <col min="11505" max="11505" width="14.42578125" style="1" customWidth="1"/>
    <col min="11506" max="11506" width="2.7109375" style="1" customWidth="1"/>
    <col min="11507" max="11507" width="9.140625" style="1"/>
    <col min="11508" max="11508" width="2.7109375" style="1" customWidth="1"/>
    <col min="11509" max="11510" width="9.140625" style="1"/>
    <col min="11511" max="11511" width="2.7109375" style="1" customWidth="1"/>
    <col min="11512" max="11512" width="5.85546875" style="1" customWidth="1"/>
    <col min="11513" max="11513" width="2.7109375" style="1" customWidth="1"/>
    <col min="11514" max="11514" width="9.140625" style="1"/>
    <col min="11515" max="11515" width="7.140625" style="1" customWidth="1"/>
    <col min="11516" max="11516" width="7" style="1" customWidth="1"/>
    <col min="11517" max="11757" width="9.140625" style="1"/>
    <col min="11758" max="11758" width="2.7109375" style="1" customWidth="1"/>
    <col min="11759" max="11759" width="4.140625" style="1" customWidth="1"/>
    <col min="11760" max="11760" width="6" style="1" customWidth="1"/>
    <col min="11761" max="11761" width="14.42578125" style="1" customWidth="1"/>
    <col min="11762" max="11762" width="2.7109375" style="1" customWidth="1"/>
    <col min="11763" max="11763" width="9.140625" style="1"/>
    <col min="11764" max="11764" width="2.7109375" style="1" customWidth="1"/>
    <col min="11765" max="11766" width="9.140625" style="1"/>
    <col min="11767" max="11767" width="2.7109375" style="1" customWidth="1"/>
    <col min="11768" max="11768" width="5.85546875" style="1" customWidth="1"/>
    <col min="11769" max="11769" width="2.7109375" style="1" customWidth="1"/>
    <col min="11770" max="11770" width="9.140625" style="1"/>
    <col min="11771" max="11771" width="7.140625" style="1" customWidth="1"/>
    <col min="11772" max="11772" width="7" style="1" customWidth="1"/>
    <col min="11773" max="12013" width="9.140625" style="1"/>
    <col min="12014" max="12014" width="2.7109375" style="1" customWidth="1"/>
    <col min="12015" max="12015" width="4.140625" style="1" customWidth="1"/>
    <col min="12016" max="12016" width="6" style="1" customWidth="1"/>
    <col min="12017" max="12017" width="14.42578125" style="1" customWidth="1"/>
    <col min="12018" max="12018" width="2.7109375" style="1" customWidth="1"/>
    <col min="12019" max="12019" width="9.140625" style="1"/>
    <col min="12020" max="12020" width="2.7109375" style="1" customWidth="1"/>
    <col min="12021" max="12022" width="9.140625" style="1"/>
    <col min="12023" max="12023" width="2.7109375" style="1" customWidth="1"/>
    <col min="12024" max="12024" width="5.85546875" style="1" customWidth="1"/>
    <col min="12025" max="12025" width="2.7109375" style="1" customWidth="1"/>
    <col min="12026" max="12026" width="9.140625" style="1"/>
    <col min="12027" max="12027" width="7.140625" style="1" customWidth="1"/>
    <col min="12028" max="12028" width="7" style="1" customWidth="1"/>
    <col min="12029" max="12269" width="9.140625" style="1"/>
    <col min="12270" max="12270" width="2.7109375" style="1" customWidth="1"/>
    <col min="12271" max="12271" width="4.140625" style="1" customWidth="1"/>
    <col min="12272" max="12272" width="6" style="1" customWidth="1"/>
    <col min="12273" max="12273" width="14.42578125" style="1" customWidth="1"/>
    <col min="12274" max="12274" width="2.7109375" style="1" customWidth="1"/>
    <col min="12275" max="12275" width="9.140625" style="1"/>
    <col min="12276" max="12276" width="2.7109375" style="1" customWidth="1"/>
    <col min="12277" max="12278" width="9.140625" style="1"/>
    <col min="12279" max="12279" width="2.7109375" style="1" customWidth="1"/>
    <col min="12280" max="12280" width="5.85546875" style="1" customWidth="1"/>
    <col min="12281" max="12281" width="2.7109375" style="1" customWidth="1"/>
    <col min="12282" max="12282" width="9.140625" style="1"/>
    <col min="12283" max="12283" width="7.140625" style="1" customWidth="1"/>
    <col min="12284" max="12284" width="7" style="1" customWidth="1"/>
    <col min="12285" max="12525" width="9.140625" style="1"/>
    <col min="12526" max="12526" width="2.7109375" style="1" customWidth="1"/>
    <col min="12527" max="12527" width="4.140625" style="1" customWidth="1"/>
    <col min="12528" max="12528" width="6" style="1" customWidth="1"/>
    <col min="12529" max="12529" width="14.42578125" style="1" customWidth="1"/>
    <col min="12530" max="12530" width="2.7109375" style="1" customWidth="1"/>
    <col min="12531" max="12531" width="9.140625" style="1"/>
    <col min="12532" max="12532" width="2.7109375" style="1" customWidth="1"/>
    <col min="12533" max="12534" width="9.140625" style="1"/>
    <col min="12535" max="12535" width="2.7109375" style="1" customWidth="1"/>
    <col min="12536" max="12536" width="5.85546875" style="1" customWidth="1"/>
    <col min="12537" max="12537" width="2.7109375" style="1" customWidth="1"/>
    <col min="12538" max="12538" width="9.140625" style="1"/>
    <col min="12539" max="12539" width="7.140625" style="1" customWidth="1"/>
    <col min="12540" max="12540" width="7" style="1" customWidth="1"/>
    <col min="12541" max="12781" width="9.140625" style="1"/>
    <col min="12782" max="12782" width="2.7109375" style="1" customWidth="1"/>
    <col min="12783" max="12783" width="4.140625" style="1" customWidth="1"/>
    <col min="12784" max="12784" width="6" style="1" customWidth="1"/>
    <col min="12785" max="12785" width="14.42578125" style="1" customWidth="1"/>
    <col min="12786" max="12786" width="2.7109375" style="1" customWidth="1"/>
    <col min="12787" max="12787" width="9.140625" style="1"/>
    <col min="12788" max="12788" width="2.7109375" style="1" customWidth="1"/>
    <col min="12789" max="12790" width="9.140625" style="1"/>
    <col min="12791" max="12791" width="2.7109375" style="1" customWidth="1"/>
    <col min="12792" max="12792" width="5.85546875" style="1" customWidth="1"/>
    <col min="12793" max="12793" width="2.7109375" style="1" customWidth="1"/>
    <col min="12794" max="12794" width="9.140625" style="1"/>
    <col min="12795" max="12795" width="7.140625" style="1" customWidth="1"/>
    <col min="12796" max="12796" width="7" style="1" customWidth="1"/>
    <col min="12797" max="13037" width="9.140625" style="1"/>
    <col min="13038" max="13038" width="2.7109375" style="1" customWidth="1"/>
    <col min="13039" max="13039" width="4.140625" style="1" customWidth="1"/>
    <col min="13040" max="13040" width="6" style="1" customWidth="1"/>
    <col min="13041" max="13041" width="14.42578125" style="1" customWidth="1"/>
    <col min="13042" max="13042" width="2.7109375" style="1" customWidth="1"/>
    <col min="13043" max="13043" width="9.140625" style="1"/>
    <col min="13044" max="13044" width="2.7109375" style="1" customWidth="1"/>
    <col min="13045" max="13046" width="9.140625" style="1"/>
    <col min="13047" max="13047" width="2.7109375" style="1" customWidth="1"/>
    <col min="13048" max="13048" width="5.85546875" style="1" customWidth="1"/>
    <col min="13049" max="13049" width="2.7109375" style="1" customWidth="1"/>
    <col min="13050" max="13050" width="9.140625" style="1"/>
    <col min="13051" max="13051" width="7.140625" style="1" customWidth="1"/>
    <col min="13052" max="13052" width="7" style="1" customWidth="1"/>
    <col min="13053" max="13293" width="9.140625" style="1"/>
    <col min="13294" max="13294" width="2.7109375" style="1" customWidth="1"/>
    <col min="13295" max="13295" width="4.140625" style="1" customWidth="1"/>
    <col min="13296" max="13296" width="6" style="1" customWidth="1"/>
    <col min="13297" max="13297" width="14.42578125" style="1" customWidth="1"/>
    <col min="13298" max="13298" width="2.7109375" style="1" customWidth="1"/>
    <col min="13299" max="13299" width="9.140625" style="1"/>
    <col min="13300" max="13300" width="2.7109375" style="1" customWidth="1"/>
    <col min="13301" max="13302" width="9.140625" style="1"/>
    <col min="13303" max="13303" width="2.7109375" style="1" customWidth="1"/>
    <col min="13304" max="13304" width="5.85546875" style="1" customWidth="1"/>
    <col min="13305" max="13305" width="2.7109375" style="1" customWidth="1"/>
    <col min="13306" max="13306" width="9.140625" style="1"/>
    <col min="13307" max="13307" width="7.140625" style="1" customWidth="1"/>
    <col min="13308" max="13308" width="7" style="1" customWidth="1"/>
    <col min="13309" max="13549" width="9.140625" style="1"/>
    <col min="13550" max="13550" width="2.7109375" style="1" customWidth="1"/>
    <col min="13551" max="13551" width="4.140625" style="1" customWidth="1"/>
    <col min="13552" max="13552" width="6" style="1" customWidth="1"/>
    <col min="13553" max="13553" width="14.42578125" style="1" customWidth="1"/>
    <col min="13554" max="13554" width="2.7109375" style="1" customWidth="1"/>
    <col min="13555" max="13555" width="9.140625" style="1"/>
    <col min="13556" max="13556" width="2.7109375" style="1" customWidth="1"/>
    <col min="13557" max="13558" width="9.140625" style="1"/>
    <col min="13559" max="13559" width="2.7109375" style="1" customWidth="1"/>
    <col min="13560" max="13560" width="5.85546875" style="1" customWidth="1"/>
    <col min="13561" max="13561" width="2.7109375" style="1" customWidth="1"/>
    <col min="13562" max="13562" width="9.140625" style="1"/>
    <col min="13563" max="13563" width="7.140625" style="1" customWidth="1"/>
    <col min="13564" max="13564" width="7" style="1" customWidth="1"/>
    <col min="13565" max="13805" width="9.140625" style="1"/>
    <col min="13806" max="13806" width="2.7109375" style="1" customWidth="1"/>
    <col min="13807" max="13807" width="4.140625" style="1" customWidth="1"/>
    <col min="13808" max="13808" width="6" style="1" customWidth="1"/>
    <col min="13809" max="13809" width="14.42578125" style="1" customWidth="1"/>
    <col min="13810" max="13810" width="2.7109375" style="1" customWidth="1"/>
    <col min="13811" max="13811" width="9.140625" style="1"/>
    <col min="13812" max="13812" width="2.7109375" style="1" customWidth="1"/>
    <col min="13813" max="13814" width="9.140625" style="1"/>
    <col min="13815" max="13815" width="2.7109375" style="1" customWidth="1"/>
    <col min="13816" max="13816" width="5.85546875" style="1" customWidth="1"/>
    <col min="13817" max="13817" width="2.7109375" style="1" customWidth="1"/>
    <col min="13818" max="13818" width="9.140625" style="1"/>
    <col min="13819" max="13819" width="7.140625" style="1" customWidth="1"/>
    <col min="13820" max="13820" width="7" style="1" customWidth="1"/>
    <col min="13821" max="14061" width="9.140625" style="1"/>
    <col min="14062" max="14062" width="2.7109375" style="1" customWidth="1"/>
    <col min="14063" max="14063" width="4.140625" style="1" customWidth="1"/>
    <col min="14064" max="14064" width="6" style="1" customWidth="1"/>
    <col min="14065" max="14065" width="14.42578125" style="1" customWidth="1"/>
    <col min="14066" max="14066" width="2.7109375" style="1" customWidth="1"/>
    <col min="14067" max="14067" width="9.140625" style="1"/>
    <col min="14068" max="14068" width="2.7109375" style="1" customWidth="1"/>
    <col min="14069" max="14070" width="9.140625" style="1"/>
    <col min="14071" max="14071" width="2.7109375" style="1" customWidth="1"/>
    <col min="14072" max="14072" width="5.85546875" style="1" customWidth="1"/>
    <col min="14073" max="14073" width="2.7109375" style="1" customWidth="1"/>
    <col min="14074" max="14074" width="9.140625" style="1"/>
    <col min="14075" max="14075" width="7.140625" style="1" customWidth="1"/>
    <col min="14076" max="14076" width="7" style="1" customWidth="1"/>
    <col min="14077" max="14317" width="9.140625" style="1"/>
    <col min="14318" max="14318" width="2.7109375" style="1" customWidth="1"/>
    <col min="14319" max="14319" width="4.140625" style="1" customWidth="1"/>
    <col min="14320" max="14320" width="6" style="1" customWidth="1"/>
    <col min="14321" max="14321" width="14.42578125" style="1" customWidth="1"/>
    <col min="14322" max="14322" width="2.7109375" style="1" customWidth="1"/>
    <col min="14323" max="14323" width="9.140625" style="1"/>
    <col min="14324" max="14324" width="2.7109375" style="1" customWidth="1"/>
    <col min="14325" max="14326" width="9.140625" style="1"/>
    <col min="14327" max="14327" width="2.7109375" style="1" customWidth="1"/>
    <col min="14328" max="14328" width="5.85546875" style="1" customWidth="1"/>
    <col min="14329" max="14329" width="2.7109375" style="1" customWidth="1"/>
    <col min="14330" max="14330" width="9.140625" style="1"/>
    <col min="14331" max="14331" width="7.140625" style="1" customWidth="1"/>
    <col min="14332" max="14332" width="7" style="1" customWidth="1"/>
    <col min="14333" max="14573" width="9.140625" style="1"/>
    <col min="14574" max="14574" width="2.7109375" style="1" customWidth="1"/>
    <col min="14575" max="14575" width="4.140625" style="1" customWidth="1"/>
    <col min="14576" max="14576" width="6" style="1" customWidth="1"/>
    <col min="14577" max="14577" width="14.42578125" style="1" customWidth="1"/>
    <col min="14578" max="14578" width="2.7109375" style="1" customWidth="1"/>
    <col min="14579" max="14579" width="9.140625" style="1"/>
    <col min="14580" max="14580" width="2.7109375" style="1" customWidth="1"/>
    <col min="14581" max="14582" width="9.140625" style="1"/>
    <col min="14583" max="14583" width="2.7109375" style="1" customWidth="1"/>
    <col min="14584" max="14584" width="5.85546875" style="1" customWidth="1"/>
    <col min="14585" max="14585" width="2.7109375" style="1" customWidth="1"/>
    <col min="14586" max="14586" width="9.140625" style="1"/>
    <col min="14587" max="14587" width="7.140625" style="1" customWidth="1"/>
    <col min="14588" max="14588" width="7" style="1" customWidth="1"/>
    <col min="14589" max="14829" width="9.140625" style="1"/>
    <col min="14830" max="14830" width="2.7109375" style="1" customWidth="1"/>
    <col min="14831" max="14831" width="4.140625" style="1" customWidth="1"/>
    <col min="14832" max="14832" width="6" style="1" customWidth="1"/>
    <col min="14833" max="14833" width="14.42578125" style="1" customWidth="1"/>
    <col min="14834" max="14834" width="2.7109375" style="1" customWidth="1"/>
    <col min="14835" max="14835" width="9.140625" style="1"/>
    <col min="14836" max="14836" width="2.7109375" style="1" customWidth="1"/>
    <col min="14837" max="14838" width="9.140625" style="1"/>
    <col min="14839" max="14839" width="2.7109375" style="1" customWidth="1"/>
    <col min="14840" max="14840" width="5.85546875" style="1" customWidth="1"/>
    <col min="14841" max="14841" width="2.7109375" style="1" customWidth="1"/>
    <col min="14842" max="14842" width="9.140625" style="1"/>
    <col min="14843" max="14843" width="7.140625" style="1" customWidth="1"/>
    <col min="14844" max="14844" width="7" style="1" customWidth="1"/>
    <col min="14845" max="15085" width="9.140625" style="1"/>
    <col min="15086" max="15086" width="2.7109375" style="1" customWidth="1"/>
    <col min="15087" max="15087" width="4.140625" style="1" customWidth="1"/>
    <col min="15088" max="15088" width="6" style="1" customWidth="1"/>
    <col min="15089" max="15089" width="14.42578125" style="1" customWidth="1"/>
    <col min="15090" max="15090" width="2.7109375" style="1" customWidth="1"/>
    <col min="15091" max="15091" width="9.140625" style="1"/>
    <col min="15092" max="15092" width="2.7109375" style="1" customWidth="1"/>
    <col min="15093" max="15094" width="9.140625" style="1"/>
    <col min="15095" max="15095" width="2.7109375" style="1" customWidth="1"/>
    <col min="15096" max="15096" width="5.85546875" style="1" customWidth="1"/>
    <col min="15097" max="15097" width="2.7109375" style="1" customWidth="1"/>
    <col min="15098" max="15098" width="9.140625" style="1"/>
    <col min="15099" max="15099" width="7.140625" style="1" customWidth="1"/>
    <col min="15100" max="15100" width="7" style="1" customWidth="1"/>
    <col min="15101" max="15341" width="9.140625" style="1"/>
    <col min="15342" max="15342" width="2.7109375" style="1" customWidth="1"/>
    <col min="15343" max="15343" width="4.140625" style="1" customWidth="1"/>
    <col min="15344" max="15344" width="6" style="1" customWidth="1"/>
    <col min="15345" max="15345" width="14.42578125" style="1" customWidth="1"/>
    <col min="15346" max="15346" width="2.7109375" style="1" customWidth="1"/>
    <col min="15347" max="15347" width="9.140625" style="1"/>
    <col min="15348" max="15348" width="2.7109375" style="1" customWidth="1"/>
    <col min="15349" max="15350" width="9.140625" style="1"/>
    <col min="15351" max="15351" width="2.7109375" style="1" customWidth="1"/>
    <col min="15352" max="15352" width="5.85546875" style="1" customWidth="1"/>
    <col min="15353" max="15353" width="2.7109375" style="1" customWidth="1"/>
    <col min="15354" max="15354" width="9.140625" style="1"/>
    <col min="15355" max="15355" width="7.140625" style="1" customWidth="1"/>
    <col min="15356" max="15356" width="7" style="1" customWidth="1"/>
    <col min="15357" max="15597" width="9.140625" style="1"/>
    <col min="15598" max="15598" width="2.7109375" style="1" customWidth="1"/>
    <col min="15599" max="15599" width="4.140625" style="1" customWidth="1"/>
    <col min="15600" max="15600" width="6" style="1" customWidth="1"/>
    <col min="15601" max="15601" width="14.42578125" style="1" customWidth="1"/>
    <col min="15602" max="15602" width="2.7109375" style="1" customWidth="1"/>
    <col min="15603" max="15603" width="9.140625" style="1"/>
    <col min="15604" max="15604" width="2.7109375" style="1" customWidth="1"/>
    <col min="15605" max="15606" width="9.140625" style="1"/>
    <col min="15607" max="15607" width="2.7109375" style="1" customWidth="1"/>
    <col min="15608" max="15608" width="5.85546875" style="1" customWidth="1"/>
    <col min="15609" max="15609" width="2.7109375" style="1" customWidth="1"/>
    <col min="15610" max="15610" width="9.140625" style="1"/>
    <col min="15611" max="15611" width="7.140625" style="1" customWidth="1"/>
    <col min="15612" max="15612" width="7" style="1" customWidth="1"/>
    <col min="15613" max="15853" width="9.140625" style="1"/>
    <col min="15854" max="15854" width="2.7109375" style="1" customWidth="1"/>
    <col min="15855" max="15855" width="4.140625" style="1" customWidth="1"/>
    <col min="15856" max="15856" width="6" style="1" customWidth="1"/>
    <col min="15857" max="15857" width="14.42578125" style="1" customWidth="1"/>
    <col min="15858" max="15858" width="2.7109375" style="1" customWidth="1"/>
    <col min="15859" max="15859" width="9.140625" style="1"/>
    <col min="15860" max="15860" width="2.7109375" style="1" customWidth="1"/>
    <col min="15861" max="15862" width="9.140625" style="1"/>
    <col min="15863" max="15863" width="2.7109375" style="1" customWidth="1"/>
    <col min="15864" max="15864" width="5.85546875" style="1" customWidth="1"/>
    <col min="15865" max="15865" width="2.7109375" style="1" customWidth="1"/>
    <col min="15866" max="15866" width="9.140625" style="1"/>
    <col min="15867" max="15867" width="7.140625" style="1" customWidth="1"/>
    <col min="15868" max="15868" width="7" style="1" customWidth="1"/>
    <col min="15869" max="16109" width="9.140625" style="1"/>
    <col min="16110" max="16110" width="2.7109375" style="1" customWidth="1"/>
    <col min="16111" max="16111" width="4.140625" style="1" customWidth="1"/>
    <col min="16112" max="16112" width="6" style="1" customWidth="1"/>
    <col min="16113" max="16113" width="14.42578125" style="1" customWidth="1"/>
    <col min="16114" max="16114" width="2.7109375" style="1" customWidth="1"/>
    <col min="16115" max="16115" width="9.140625" style="1"/>
    <col min="16116" max="16116" width="2.7109375" style="1" customWidth="1"/>
    <col min="16117" max="16118" width="9.140625" style="1"/>
    <col min="16119" max="16119" width="2.7109375" style="1" customWidth="1"/>
    <col min="16120" max="16120" width="5.85546875" style="1" customWidth="1"/>
    <col min="16121" max="16121" width="2.7109375" style="1" customWidth="1"/>
    <col min="16122" max="16122" width="9.140625" style="1"/>
    <col min="16123" max="16123" width="7.140625" style="1" customWidth="1"/>
    <col min="16124" max="16124" width="7" style="1" customWidth="1"/>
    <col min="16125" max="16384" width="9.140625" style="1"/>
  </cols>
  <sheetData>
    <row r="1" spans="1:19" ht="15.75" customHeight="1" x14ac:dyDescent="0.2">
      <c r="A1" s="100" t="s">
        <v>10</v>
      </c>
      <c r="B1" s="100"/>
      <c r="C1" s="100"/>
      <c r="D1" s="100"/>
      <c r="E1" s="100"/>
      <c r="F1" s="71"/>
      <c r="G1" s="100" t="s">
        <v>34</v>
      </c>
      <c r="H1" s="100"/>
      <c r="I1" s="100"/>
      <c r="J1" s="100"/>
      <c r="K1" s="100"/>
      <c r="L1" s="100"/>
      <c r="M1" s="71"/>
      <c r="N1" s="67"/>
      <c r="O1" s="71"/>
      <c r="P1" s="71"/>
      <c r="Q1" s="71"/>
      <c r="R1" s="71"/>
      <c r="S1" s="71"/>
    </row>
    <row r="2" spans="1:19" ht="15.75" customHeight="1" x14ac:dyDescent="0.2">
      <c r="A2" s="102" t="s">
        <v>35</v>
      </c>
      <c r="B2" s="102"/>
      <c r="C2" s="102"/>
      <c r="D2" s="102"/>
      <c r="E2" s="102"/>
      <c r="F2" s="71"/>
      <c r="G2" s="8" t="s">
        <v>35</v>
      </c>
      <c r="H2" s="8"/>
      <c r="I2" s="8"/>
      <c r="J2" s="8"/>
      <c r="K2" s="8"/>
      <c r="L2" s="8"/>
      <c r="M2" s="71"/>
      <c r="N2" s="71"/>
      <c r="O2" s="71"/>
      <c r="P2" s="71"/>
      <c r="Q2" s="71"/>
      <c r="R2" s="71"/>
      <c r="S2" s="71"/>
    </row>
    <row r="3" spans="1:19" ht="15.75" customHeight="1" x14ac:dyDescent="0.2">
      <c r="A3" s="71" t="s">
        <v>36</v>
      </c>
      <c r="B3" s="71">
        <v>0</v>
      </c>
      <c r="C3" s="71">
        <v>9.9999000000000002</v>
      </c>
      <c r="D3" s="73">
        <v>69.81</v>
      </c>
      <c r="E3" s="71"/>
      <c r="F3" s="71"/>
      <c r="G3" s="8" t="s">
        <v>12</v>
      </c>
      <c r="H3" s="8" t="s">
        <v>37</v>
      </c>
      <c r="I3" s="8"/>
      <c r="J3" s="8" t="s">
        <v>38</v>
      </c>
      <c r="K3" s="8"/>
      <c r="L3" s="8" t="s">
        <v>19</v>
      </c>
      <c r="M3" s="71"/>
      <c r="N3" s="71"/>
      <c r="O3" s="71"/>
      <c r="P3" s="71"/>
      <c r="Q3" s="71"/>
      <c r="R3" s="71"/>
      <c r="S3" s="71"/>
    </row>
    <row r="4" spans="1:19" ht="15.75" customHeight="1" x14ac:dyDescent="0.2">
      <c r="A4" s="71" t="s">
        <v>39</v>
      </c>
      <c r="B4" s="71">
        <v>10</v>
      </c>
      <c r="C4" s="71">
        <v>19.9999</v>
      </c>
      <c r="D4" s="73">
        <v>63.41</v>
      </c>
      <c r="E4" s="71"/>
      <c r="F4" s="71"/>
      <c r="G4" s="71">
        <v>1</v>
      </c>
      <c r="H4" s="71">
        <v>10</v>
      </c>
      <c r="I4" s="71">
        <f>ROUND(1-(100/(H4+100)),6)</f>
        <v>9.0909000000000004E-2</v>
      </c>
      <c r="J4" s="71">
        <v>36</v>
      </c>
      <c r="K4" s="71">
        <f>ROUND(1-(100/(J4+100)),6)</f>
        <v>0.264706</v>
      </c>
      <c r="L4" s="71">
        <v>0.107</v>
      </c>
      <c r="M4" s="71"/>
      <c r="N4" s="71"/>
      <c r="O4" s="71"/>
      <c r="P4" s="71"/>
      <c r="Q4" s="71"/>
      <c r="R4" s="71"/>
      <c r="S4" s="71"/>
    </row>
    <row r="5" spans="1:19" ht="15.75" customHeight="1" x14ac:dyDescent="0.2">
      <c r="A5" s="71" t="s">
        <v>40</v>
      </c>
      <c r="B5" s="71">
        <v>20</v>
      </c>
      <c r="C5" s="71">
        <v>999999</v>
      </c>
      <c r="D5" s="73">
        <v>58.13</v>
      </c>
      <c r="E5" s="71"/>
      <c r="F5" s="71"/>
      <c r="G5" s="71">
        <v>2</v>
      </c>
      <c r="H5" s="71">
        <v>15</v>
      </c>
      <c r="I5" s="71">
        <f t="shared" ref="I5:I6" si="0">ROUND(1-(100/(H5+100)),6)</f>
        <v>0.130435</v>
      </c>
      <c r="J5" s="71">
        <v>41</v>
      </c>
      <c r="K5" s="71">
        <f t="shared" ref="K5:K6" si="1">ROUND(1-(100/(J5+100)),6)</f>
        <v>0.29077999999999998</v>
      </c>
      <c r="L5" s="71">
        <v>0.107</v>
      </c>
      <c r="M5" s="71"/>
      <c r="N5" s="71"/>
      <c r="O5" s="71"/>
      <c r="P5" s="71"/>
      <c r="Q5" s="71"/>
      <c r="R5" s="71"/>
      <c r="S5" s="71"/>
    </row>
    <row r="6" spans="1:19" ht="15.75" customHeight="1" x14ac:dyDescent="0.2">
      <c r="A6" s="102" t="s">
        <v>41</v>
      </c>
      <c r="B6" s="102"/>
      <c r="C6" s="102"/>
      <c r="D6" s="102"/>
      <c r="E6" s="102"/>
      <c r="F6" s="71"/>
      <c r="G6" s="71">
        <v>3</v>
      </c>
      <c r="H6" s="71">
        <v>24</v>
      </c>
      <c r="I6" s="71">
        <f t="shared" si="0"/>
        <v>0.193548</v>
      </c>
      <c r="J6" s="71">
        <v>50</v>
      </c>
      <c r="K6" s="71">
        <f t="shared" si="1"/>
        <v>0.33333299999999999</v>
      </c>
      <c r="L6" s="71">
        <v>0.107</v>
      </c>
      <c r="M6" s="71"/>
      <c r="N6" s="71"/>
      <c r="O6" s="71"/>
      <c r="P6" s="71"/>
      <c r="Q6" s="71"/>
      <c r="R6" s="71"/>
      <c r="S6" s="71"/>
    </row>
    <row r="7" spans="1:19" x14ac:dyDescent="0.2">
      <c r="A7" s="71" t="s">
        <v>42</v>
      </c>
      <c r="B7" s="71">
        <v>0</v>
      </c>
      <c r="C7" s="71">
        <v>9.9989999999999996E-2</v>
      </c>
      <c r="D7" s="73">
        <v>422.75</v>
      </c>
      <c r="E7" s="71"/>
      <c r="F7" s="71"/>
      <c r="G7" s="71">
        <v>4</v>
      </c>
      <c r="H7" s="71">
        <v>36</v>
      </c>
      <c r="I7" s="71">
        <f t="shared" ref="I7:I12" si="2">ROUND(1-(100/(H7+100)),6)</f>
        <v>0.264706</v>
      </c>
      <c r="J7" s="71">
        <v>62</v>
      </c>
      <c r="K7" s="71">
        <f t="shared" ref="K7:K12" si="3">ROUND(1-(100/(J7+100)),6)</f>
        <v>0.382716</v>
      </c>
      <c r="L7" s="71">
        <v>0.30130000000000001</v>
      </c>
      <c r="M7" s="71"/>
      <c r="N7" s="71"/>
      <c r="O7" s="71"/>
      <c r="P7" s="71"/>
      <c r="Q7" s="71"/>
      <c r="R7" s="71"/>
      <c r="S7" s="71"/>
    </row>
    <row r="8" spans="1:19" x14ac:dyDescent="0.2">
      <c r="A8" s="71" t="s">
        <v>43</v>
      </c>
      <c r="B8" s="71">
        <v>0.1</v>
      </c>
      <c r="C8" s="71">
        <v>0.24998999999999999</v>
      </c>
      <c r="D8" s="73">
        <v>95.12</v>
      </c>
      <c r="E8" s="71"/>
      <c r="F8" s="71"/>
      <c r="G8" s="71">
        <v>0</v>
      </c>
      <c r="H8" s="71">
        <v>49</v>
      </c>
      <c r="I8" s="71">
        <f t="shared" si="2"/>
        <v>0.32885900000000001</v>
      </c>
      <c r="J8" s="71">
        <v>17</v>
      </c>
      <c r="K8" s="71">
        <f t="shared" si="3"/>
        <v>0.14529900000000001</v>
      </c>
      <c r="L8" s="71">
        <v>0.41789999999999999</v>
      </c>
      <c r="M8" s="71"/>
      <c r="N8" s="71"/>
      <c r="O8" s="71"/>
      <c r="P8" s="71"/>
      <c r="Q8" s="71"/>
      <c r="R8" s="71"/>
      <c r="S8" s="71"/>
    </row>
    <row r="9" spans="1:19" x14ac:dyDescent="0.2">
      <c r="A9" s="71" t="s">
        <v>44</v>
      </c>
      <c r="B9" s="71">
        <v>0.25</v>
      </c>
      <c r="C9" s="71">
        <v>0.39999000000000001</v>
      </c>
      <c r="D9" s="73">
        <v>79.27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19" x14ac:dyDescent="0.2">
      <c r="A10" s="71" t="s">
        <v>45</v>
      </c>
      <c r="B10" s="71">
        <v>0.4</v>
      </c>
      <c r="C10" s="71">
        <v>0.69999</v>
      </c>
      <c r="D10" s="73">
        <v>73.98</v>
      </c>
      <c r="E10" s="71"/>
      <c r="F10" s="71"/>
      <c r="G10" s="64">
        <v>6</v>
      </c>
      <c r="H10" s="64">
        <v>26</v>
      </c>
      <c r="I10" s="64">
        <f t="shared" si="2"/>
        <v>0.206349</v>
      </c>
      <c r="J10" s="64">
        <v>52</v>
      </c>
      <c r="K10" s="64">
        <f t="shared" si="3"/>
        <v>0.34210499999999999</v>
      </c>
      <c r="L10" s="64">
        <v>0.107</v>
      </c>
      <c r="M10" s="71"/>
      <c r="N10" s="71"/>
      <c r="O10" s="71"/>
      <c r="P10" s="71"/>
      <c r="Q10" s="71"/>
      <c r="R10" s="71"/>
      <c r="S10" s="71"/>
    </row>
    <row r="11" spans="1:19" x14ac:dyDescent="0.2">
      <c r="A11" s="71" t="s">
        <v>46</v>
      </c>
      <c r="B11" s="71">
        <v>0.7</v>
      </c>
      <c r="C11" s="71">
        <v>999999</v>
      </c>
      <c r="D11" s="73">
        <v>69.81</v>
      </c>
      <c r="E11" s="71"/>
      <c r="F11" s="71"/>
      <c r="G11" s="64">
        <v>7</v>
      </c>
      <c r="H11" s="64">
        <v>27</v>
      </c>
      <c r="I11" s="64">
        <f t="shared" si="2"/>
        <v>0.21259800000000001</v>
      </c>
      <c r="J11" s="64">
        <v>53</v>
      </c>
      <c r="K11" s="64">
        <f t="shared" si="3"/>
        <v>0.34640500000000002</v>
      </c>
      <c r="L11" s="64">
        <v>0.156</v>
      </c>
      <c r="M11" s="71"/>
      <c r="N11" s="71"/>
      <c r="O11" s="71"/>
      <c r="P11" s="71"/>
      <c r="Q11" s="71"/>
      <c r="R11" s="71"/>
      <c r="S11" s="71"/>
    </row>
    <row r="12" spans="1:19" x14ac:dyDescent="0.2">
      <c r="A12" s="71"/>
      <c r="B12" s="71"/>
      <c r="C12" s="71"/>
      <c r="D12" s="71"/>
      <c r="E12" s="71"/>
      <c r="F12" s="71"/>
      <c r="G12" s="64">
        <v>8</v>
      </c>
      <c r="H12" s="64">
        <v>30</v>
      </c>
      <c r="I12" s="64">
        <f t="shared" si="2"/>
        <v>0.230769</v>
      </c>
      <c r="J12" s="64">
        <v>56</v>
      </c>
      <c r="K12" s="64">
        <f t="shared" si="3"/>
        <v>0.35897400000000002</v>
      </c>
      <c r="L12" s="64">
        <v>0.188</v>
      </c>
      <c r="M12" s="71"/>
      <c r="N12" s="71"/>
      <c r="O12" s="71"/>
      <c r="P12" s="71"/>
      <c r="Q12" s="71"/>
      <c r="R12" s="71"/>
      <c r="S12" s="71"/>
    </row>
    <row r="13" spans="1:19" x14ac:dyDescent="0.2">
      <c r="A13" s="100" t="s">
        <v>47</v>
      </c>
      <c r="B13" s="100"/>
      <c r="C13" s="100"/>
      <c r="D13" s="100"/>
      <c r="E13" s="100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</row>
    <row r="14" spans="1:19" x14ac:dyDescent="0.2">
      <c r="A14" s="4"/>
      <c r="B14" s="4"/>
      <c r="C14" s="71"/>
      <c r="D14" s="5">
        <v>1</v>
      </c>
      <c r="E14" s="5">
        <v>2</v>
      </c>
      <c r="F14" s="5"/>
      <c r="G14" s="8" t="s">
        <v>48</v>
      </c>
      <c r="H14" s="8"/>
      <c r="I14" s="8"/>
      <c r="J14" s="8"/>
      <c r="K14" s="8"/>
      <c r="L14" s="8"/>
      <c r="M14" s="71"/>
      <c r="N14" s="71"/>
      <c r="O14" s="71"/>
      <c r="P14" s="71"/>
      <c r="Q14" s="71"/>
      <c r="R14" s="71"/>
      <c r="S14" s="71"/>
    </row>
    <row r="15" spans="1:19" x14ac:dyDescent="0.2">
      <c r="A15" s="4" t="s">
        <v>49</v>
      </c>
      <c r="B15" s="4">
        <v>0</v>
      </c>
      <c r="C15" s="71">
        <v>1</v>
      </c>
      <c r="D15" s="6">
        <v>1.3998999999999999</v>
      </c>
      <c r="E15" s="6">
        <v>0.67369999999999997</v>
      </c>
      <c r="F15" s="71"/>
      <c r="G15" s="71">
        <v>1</v>
      </c>
      <c r="H15" s="71">
        <v>40</v>
      </c>
      <c r="I15" s="71">
        <f t="shared" ref="I15:I19" si="4">ROUND(1-(100/(H15+100)),6)</f>
        <v>0.28571400000000002</v>
      </c>
      <c r="J15" s="71"/>
      <c r="K15" s="71"/>
      <c r="L15" s="71">
        <v>0.21</v>
      </c>
      <c r="M15" s="71"/>
      <c r="N15" s="71"/>
      <c r="O15" s="71"/>
      <c r="P15" s="71"/>
      <c r="Q15" s="71"/>
      <c r="R15" s="71"/>
      <c r="S15" s="71"/>
    </row>
    <row r="16" spans="1:19" x14ac:dyDescent="0.2">
      <c r="A16" s="4" t="s">
        <v>50</v>
      </c>
      <c r="B16" s="4">
        <v>1.0009999999999999</v>
      </c>
      <c r="C16" s="71">
        <v>3</v>
      </c>
      <c r="D16" s="6">
        <v>1.2634000000000001</v>
      </c>
      <c r="E16" s="6">
        <v>0.6079</v>
      </c>
      <c r="F16" s="71"/>
      <c r="G16" s="71">
        <v>2</v>
      </c>
      <c r="H16" s="71">
        <v>50</v>
      </c>
      <c r="I16" s="71">
        <f t="shared" si="4"/>
        <v>0.33333299999999999</v>
      </c>
      <c r="J16" s="71"/>
      <c r="K16" s="71"/>
      <c r="L16" s="71">
        <v>0.21</v>
      </c>
      <c r="M16" s="71"/>
      <c r="N16" s="71"/>
      <c r="O16" s="71"/>
      <c r="P16" s="71"/>
      <c r="Q16" s="72"/>
      <c r="R16" s="72"/>
      <c r="S16" s="72"/>
    </row>
    <row r="17" spans="1:19" x14ac:dyDescent="0.2">
      <c r="A17" s="4" t="s">
        <v>51</v>
      </c>
      <c r="B17" s="4">
        <v>3.0009999999999999</v>
      </c>
      <c r="C17" s="71">
        <v>12.9999</v>
      </c>
      <c r="D17" s="6">
        <v>1.2219</v>
      </c>
      <c r="E17" s="6">
        <v>0.5887</v>
      </c>
      <c r="F17" s="71"/>
      <c r="G17" s="71">
        <v>3</v>
      </c>
      <c r="H17" s="71">
        <v>65</v>
      </c>
      <c r="I17" s="71">
        <f t="shared" si="4"/>
        <v>0.39393899999999998</v>
      </c>
      <c r="J17" s="71"/>
      <c r="K17" s="71"/>
      <c r="L17" s="71">
        <v>0.21</v>
      </c>
      <c r="M17" s="71"/>
      <c r="N17" s="71"/>
      <c r="O17" s="71"/>
      <c r="P17" s="71"/>
      <c r="Q17" s="72"/>
      <c r="R17" s="72"/>
      <c r="S17" s="72"/>
    </row>
    <row r="18" spans="1:19" x14ac:dyDescent="0.2">
      <c r="A18" s="4" t="s">
        <v>52</v>
      </c>
      <c r="B18" s="4">
        <v>13</v>
      </c>
      <c r="C18" s="71">
        <v>999999</v>
      </c>
      <c r="D18" s="6">
        <v>0.93559999999999999</v>
      </c>
      <c r="E18" s="6">
        <v>0.4501</v>
      </c>
      <c r="F18" s="71"/>
      <c r="G18" s="71">
        <v>4</v>
      </c>
      <c r="H18" s="71">
        <v>80</v>
      </c>
      <c r="I18" s="71">
        <f t="shared" si="4"/>
        <v>0.44444400000000001</v>
      </c>
      <c r="J18" s="71"/>
      <c r="K18" s="71"/>
      <c r="L18" s="71">
        <v>0.69</v>
      </c>
      <c r="M18" s="71"/>
      <c r="N18" s="71"/>
      <c r="O18" s="71"/>
      <c r="P18" s="71"/>
      <c r="Q18" s="72"/>
      <c r="R18" s="72"/>
      <c r="S18" s="72"/>
    </row>
    <row r="19" spans="1:19" x14ac:dyDescent="0.2">
      <c r="A19" s="101" t="s">
        <v>53</v>
      </c>
      <c r="B19" s="101"/>
      <c r="C19" s="101"/>
      <c r="D19" s="101"/>
      <c r="E19" s="101"/>
      <c r="F19" s="71"/>
      <c r="G19" s="71">
        <v>0</v>
      </c>
      <c r="H19" s="71">
        <v>95</v>
      </c>
      <c r="I19" s="71">
        <f t="shared" si="4"/>
        <v>0.48717899999999997</v>
      </c>
      <c r="J19" s="71">
        <v>11.75</v>
      </c>
      <c r="K19" s="71">
        <v>0.13313</v>
      </c>
      <c r="L19" s="71">
        <v>0.85109999999999997</v>
      </c>
      <c r="M19" s="71"/>
      <c r="N19" s="71"/>
      <c r="O19" s="71"/>
      <c r="P19" s="71"/>
      <c r="Q19" s="72"/>
      <c r="R19" s="72"/>
      <c r="S19" s="72"/>
    </row>
    <row r="20" spans="1:19" x14ac:dyDescent="0.2">
      <c r="A20" s="2"/>
      <c r="B20" s="5">
        <v>1</v>
      </c>
      <c r="C20" s="5">
        <v>2</v>
      </c>
      <c r="D20" s="66"/>
      <c r="E20" s="66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</row>
    <row r="21" spans="1:19" x14ac:dyDescent="0.2">
      <c r="A21" s="74">
        <v>1</v>
      </c>
      <c r="B21" s="73">
        <v>0.24940000000000001</v>
      </c>
      <c r="C21" s="73">
        <v>0.4501</v>
      </c>
      <c r="D21" s="72"/>
      <c r="E21" s="72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x14ac:dyDescent="0.2">
      <c r="A22" s="74">
        <v>2</v>
      </c>
      <c r="B22" s="73">
        <v>0.374</v>
      </c>
      <c r="C22" s="73">
        <v>0.4501</v>
      </c>
      <c r="D22" s="72"/>
      <c r="E22" s="72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x14ac:dyDescent="0.2">
      <c r="A23" s="74">
        <v>3</v>
      </c>
      <c r="B23" s="73">
        <v>0.59850000000000003</v>
      </c>
      <c r="C23" s="73">
        <v>0.4501</v>
      </c>
      <c r="D23" s="72"/>
      <c r="E23" s="72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1:19" x14ac:dyDescent="0.2">
      <c r="A24" s="74">
        <v>4</v>
      </c>
      <c r="B24" s="73">
        <v>0.89770000000000005</v>
      </c>
      <c r="C24" s="73">
        <v>0.4501</v>
      </c>
      <c r="D24" s="72"/>
      <c r="E24" s="72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1:19" x14ac:dyDescent="0.2">
      <c r="A25" s="74"/>
      <c r="B25" s="72"/>
      <c r="C25" s="72"/>
      <c r="D25" s="72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x14ac:dyDescent="0.2">
      <c r="A26" s="62">
        <v>6</v>
      </c>
      <c r="B26" s="64">
        <v>0.65600000000000003</v>
      </c>
      <c r="C26" s="64">
        <v>0.503</v>
      </c>
      <c r="D26" s="64">
        <v>0.51400000000000001</v>
      </c>
      <c r="E26" s="64">
        <v>0.38700000000000001</v>
      </c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x14ac:dyDescent="0.2">
      <c r="A27" s="62">
        <v>7</v>
      </c>
      <c r="B27" s="64">
        <v>0.68100000000000005</v>
      </c>
      <c r="C27" s="64">
        <v>0.52300000000000002</v>
      </c>
      <c r="D27" s="64">
        <v>0.53400000000000003</v>
      </c>
      <c r="E27" s="64">
        <v>0.40200000000000002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x14ac:dyDescent="0.2">
      <c r="A28" s="62">
        <v>8</v>
      </c>
      <c r="B28" s="64">
        <v>0.75700000000000001</v>
      </c>
      <c r="C28" s="64">
        <v>0.57999999999999996</v>
      </c>
      <c r="D28" s="64">
        <v>0.59299999999999997</v>
      </c>
      <c r="E28" s="64">
        <v>0.44700000000000001</v>
      </c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x14ac:dyDescent="0.2">
      <c r="A29" s="68"/>
      <c r="B29" s="72"/>
      <c r="C29" s="72"/>
      <c r="D29" s="72"/>
      <c r="E29" s="72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x14ac:dyDescent="0.2">
      <c r="A30" s="101" t="s">
        <v>54</v>
      </c>
      <c r="B30" s="101"/>
      <c r="C30" s="101"/>
      <c r="D30" s="101"/>
      <c r="E30" s="10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x14ac:dyDescent="0.2">
      <c r="A31" s="68">
        <v>1</v>
      </c>
      <c r="B31" s="72">
        <v>1.2154</v>
      </c>
      <c r="C31" s="72"/>
      <c r="D31" s="72"/>
      <c r="E31" s="72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x14ac:dyDescent="0.2">
      <c r="A32" s="68">
        <v>2</v>
      </c>
      <c r="B32" s="72">
        <v>1.5189999999999999</v>
      </c>
      <c r="C32" s="72"/>
      <c r="D32" s="72"/>
      <c r="E32" s="72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1:19" x14ac:dyDescent="0.2">
      <c r="A33" s="68">
        <v>3</v>
      </c>
      <c r="B33" s="72">
        <v>1.9746999999999999</v>
      </c>
      <c r="C33" s="72"/>
      <c r="D33" s="72"/>
      <c r="E33" s="72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1:19" s="3" customFormat="1" x14ac:dyDescent="0.2">
      <c r="A34" s="68">
        <v>4</v>
      </c>
      <c r="B34" s="72">
        <v>2.4304999999999999</v>
      </c>
      <c r="C34" s="72"/>
      <c r="D34" s="72"/>
      <c r="E34" s="72"/>
      <c r="F34" s="72"/>
      <c r="G34" s="71"/>
      <c r="H34" s="71"/>
      <c r="I34" s="71"/>
      <c r="J34" s="71"/>
      <c r="K34" s="71"/>
      <c r="L34" s="71"/>
      <c r="M34" s="72"/>
      <c r="N34" s="72"/>
      <c r="O34" s="72"/>
      <c r="P34" s="72"/>
      <c r="Q34" s="71"/>
      <c r="R34" s="71"/>
      <c r="S34" s="71"/>
    </row>
    <row r="35" spans="1:19" s="3" customFormat="1" x14ac:dyDescent="0.2">
      <c r="A35" s="68"/>
      <c r="B35" s="72"/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2"/>
      <c r="N35" s="72"/>
      <c r="O35" s="72"/>
      <c r="P35" s="72"/>
      <c r="Q35" s="71"/>
      <c r="R35" s="71"/>
      <c r="S35" s="71"/>
    </row>
    <row r="36" spans="1:19" s="3" customFormat="1" x14ac:dyDescent="0.2">
      <c r="A36" s="101" t="s">
        <v>55</v>
      </c>
      <c r="B36" s="101"/>
      <c r="C36" s="101"/>
      <c r="D36" s="101"/>
      <c r="E36" s="101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1"/>
      <c r="R36" s="71"/>
      <c r="S36" s="71"/>
    </row>
    <row r="37" spans="1:19" s="3" customFormat="1" x14ac:dyDescent="0.2">
      <c r="A37" s="71" t="s">
        <v>56</v>
      </c>
      <c r="B37" s="71">
        <v>5.2667000000000002</v>
      </c>
      <c r="C37" s="71"/>
      <c r="D37" s="71"/>
      <c r="E37" s="71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1"/>
      <c r="R37" s="71"/>
      <c r="S37" s="71"/>
    </row>
    <row r="38" spans="1:19" x14ac:dyDescent="0.2">
      <c r="A38" s="72" t="s">
        <v>57</v>
      </c>
      <c r="B38" s="72">
        <v>0.28860000000000002</v>
      </c>
      <c r="C38" s="72"/>
      <c r="D38" s="72"/>
      <c r="E38" s="72"/>
      <c r="F38" s="71"/>
      <c r="G38" s="72"/>
      <c r="H38" s="72"/>
      <c r="I38" s="72"/>
      <c r="J38" s="72"/>
      <c r="K38" s="72"/>
      <c r="L38" s="72"/>
      <c r="M38" s="71"/>
      <c r="N38" s="71"/>
      <c r="O38" s="71"/>
      <c r="P38" s="71"/>
      <c r="Q38" s="71"/>
      <c r="R38" s="71"/>
      <c r="S38" s="71"/>
    </row>
    <row r="39" spans="1:19" x14ac:dyDescent="0.2">
      <c r="A39" s="72" t="s">
        <v>58</v>
      </c>
      <c r="B39" s="72">
        <v>2.8862000000000001</v>
      </c>
      <c r="C39" s="72"/>
      <c r="D39" s="72"/>
      <c r="E39" s="72"/>
      <c r="F39" s="71"/>
      <c r="G39" s="72"/>
      <c r="H39" s="72"/>
      <c r="I39" s="72"/>
      <c r="J39" s="72"/>
      <c r="K39" s="72"/>
      <c r="L39" s="72"/>
      <c r="M39" s="71"/>
      <c r="N39" s="71"/>
      <c r="O39" s="71"/>
      <c r="P39" s="71"/>
      <c r="Q39" s="71"/>
      <c r="R39" s="71"/>
      <c r="S39" s="71"/>
    </row>
    <row r="40" spans="1:19" x14ac:dyDescent="0.2">
      <c r="A40" s="72" t="s">
        <v>59</v>
      </c>
      <c r="B40" s="72">
        <v>3.2902999999999998</v>
      </c>
      <c r="C40" s="72"/>
      <c r="D40" s="72"/>
      <c r="E40" s="72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19" x14ac:dyDescent="0.2">
      <c r="A41" s="72" t="s">
        <v>60</v>
      </c>
      <c r="B41" s="72">
        <v>6.1708999999999996</v>
      </c>
      <c r="C41" s="72"/>
      <c r="D41" s="72"/>
      <c r="E41" s="72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19" x14ac:dyDescent="0.2">
      <c r="A42" s="71" t="s">
        <v>61</v>
      </c>
      <c r="B42" s="71">
        <v>8.7675999999999998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19" x14ac:dyDescent="0.2">
      <c r="A43" s="71" t="s">
        <v>62</v>
      </c>
      <c r="B43" s="71">
        <v>12.2448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19" x14ac:dyDescent="0.2">
      <c r="A44" s="71" t="s">
        <v>63</v>
      </c>
      <c r="B44" s="71">
        <v>9.4309999999999992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19" x14ac:dyDescent="0.2">
      <c r="A45" s="71" t="s">
        <v>64</v>
      </c>
      <c r="B45" s="71">
        <v>10.628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19" x14ac:dyDescent="0.2">
      <c r="A46" s="71" t="s">
        <v>65</v>
      </c>
      <c r="B46" s="71">
        <v>3.8925000000000001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19" x14ac:dyDescent="0.2">
      <c r="A47" s="71" t="s">
        <v>66</v>
      </c>
      <c r="B47" s="71">
        <v>3.8792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19" x14ac:dyDescent="0.2">
      <c r="A48" s="71" t="s">
        <v>67</v>
      </c>
      <c r="B48" s="71">
        <v>0.5595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1:2" x14ac:dyDescent="0.2">
      <c r="A49" s="71" t="s">
        <v>68</v>
      </c>
      <c r="B49" s="71">
        <v>3.9802</v>
      </c>
    </row>
    <row r="50" spans="1:2" x14ac:dyDescent="0.2">
      <c r="A50" s="71" t="s">
        <v>69</v>
      </c>
      <c r="B50" s="71">
        <v>37.908499999999997</v>
      </c>
    </row>
    <row r="51" spans="1:2" x14ac:dyDescent="0.2">
      <c r="A51" s="71" t="s">
        <v>70</v>
      </c>
      <c r="B51" s="71">
        <v>38.906300000000002</v>
      </c>
    </row>
    <row r="52" spans="1:2" x14ac:dyDescent="0.2">
      <c r="A52" s="71" t="s">
        <v>71</v>
      </c>
      <c r="B52" s="71">
        <v>0.59870000000000001</v>
      </c>
    </row>
    <row r="53" spans="1:2" x14ac:dyDescent="0.2">
      <c r="A53" s="71" t="s">
        <v>72</v>
      </c>
      <c r="B53" s="71">
        <v>3.9904000000000002</v>
      </c>
    </row>
    <row r="54" spans="1:2" x14ac:dyDescent="0.2">
      <c r="A54" s="71" t="s">
        <v>73</v>
      </c>
      <c r="B54" s="71">
        <v>39.904299999999999</v>
      </c>
    </row>
    <row r="55" spans="1:2" x14ac:dyDescent="0.2">
      <c r="A55" s="71" t="s">
        <v>74</v>
      </c>
      <c r="B55" s="71">
        <v>0.70879999999999999</v>
      </c>
    </row>
    <row r="56" spans="1:2" x14ac:dyDescent="0.2">
      <c r="A56" s="71" t="s">
        <v>75</v>
      </c>
      <c r="B56" s="71">
        <v>17.533100000000001</v>
      </c>
    </row>
    <row r="57" spans="1:2" x14ac:dyDescent="0.2">
      <c r="A57" s="71" t="s">
        <v>76</v>
      </c>
      <c r="B57" s="71">
        <v>18.861699999999999</v>
      </c>
    </row>
    <row r="58" spans="1:2" x14ac:dyDescent="0.2">
      <c r="A58" s="71" t="s">
        <v>77</v>
      </c>
      <c r="B58" s="71">
        <v>21.252700000000001</v>
      </c>
    </row>
    <row r="59" spans="1:2" x14ac:dyDescent="0.2">
      <c r="A59" s="71" t="s">
        <v>78</v>
      </c>
      <c r="B59" s="71">
        <v>0.74790000000000001</v>
      </c>
    </row>
    <row r="60" spans="1:2" x14ac:dyDescent="0.2">
      <c r="A60" s="71" t="s">
        <v>79</v>
      </c>
      <c r="B60" s="71">
        <v>49.878700000000002</v>
      </c>
    </row>
    <row r="61" spans="1:2" x14ac:dyDescent="0.2">
      <c r="A61" s="71" t="s">
        <v>80</v>
      </c>
      <c r="B61" s="71">
        <v>0.80789999999999995</v>
      </c>
    </row>
    <row r="62" spans="1:2" x14ac:dyDescent="0.2">
      <c r="A62" s="71" t="s">
        <v>81</v>
      </c>
      <c r="B62" s="71">
        <v>0.82279999999999998</v>
      </c>
    </row>
    <row r="63" spans="1:2" x14ac:dyDescent="0.2">
      <c r="A63" s="71" t="s">
        <v>82</v>
      </c>
      <c r="B63" s="71">
        <v>0.84409999999999996</v>
      </c>
    </row>
    <row r="64" spans="1:2" x14ac:dyDescent="0.2">
      <c r="A64" s="71" t="s">
        <v>83</v>
      </c>
      <c r="B64" s="71">
        <v>1.6456</v>
      </c>
    </row>
    <row r="65" spans="1:2" x14ac:dyDescent="0.2">
      <c r="A65" s="71" t="s">
        <v>84</v>
      </c>
      <c r="B65" s="71">
        <v>0.85540000000000005</v>
      </c>
    </row>
    <row r="66" spans="1:2" x14ac:dyDescent="0.2">
      <c r="A66" s="71" t="s">
        <v>85</v>
      </c>
      <c r="B66" s="71">
        <v>5.9856999999999996</v>
      </c>
    </row>
    <row r="67" spans="1:2" x14ac:dyDescent="0.2">
      <c r="A67" s="71" t="s">
        <v>86</v>
      </c>
      <c r="B67" s="71">
        <v>59.856400000000001</v>
      </c>
    </row>
    <row r="68" spans="1:2" x14ac:dyDescent="0.2">
      <c r="A68" s="71" t="s">
        <v>87</v>
      </c>
      <c r="B68" s="71">
        <v>0.98770000000000002</v>
      </c>
    </row>
    <row r="69" spans="1:2" x14ac:dyDescent="0.2">
      <c r="A69" s="71" t="s">
        <v>88</v>
      </c>
      <c r="B69" s="71">
        <v>0.99619999999999997</v>
      </c>
    </row>
    <row r="70" spans="1:2" x14ac:dyDescent="0.2">
      <c r="A70" s="71" t="s">
        <v>89</v>
      </c>
      <c r="B70" s="71">
        <v>1.0203</v>
      </c>
    </row>
    <row r="71" spans="1:2" x14ac:dyDescent="0.2">
      <c r="A71" s="71" t="s">
        <v>90</v>
      </c>
      <c r="B71" s="71">
        <v>1.0625</v>
      </c>
    </row>
    <row r="72" spans="1:2" x14ac:dyDescent="0.2">
      <c r="A72" s="71" t="s">
        <v>91</v>
      </c>
      <c r="B72" s="71">
        <v>1.0773999999999999</v>
      </c>
    </row>
    <row r="73" spans="1:2" x14ac:dyDescent="0.2">
      <c r="A73" s="71" t="s">
        <v>92</v>
      </c>
      <c r="B73" s="71">
        <v>1.1077999999999999</v>
      </c>
    </row>
    <row r="74" spans="1:2" x14ac:dyDescent="0.2">
      <c r="A74" s="71" t="s">
        <v>93</v>
      </c>
      <c r="B74" s="71">
        <v>1.1227</v>
      </c>
    </row>
    <row r="75" spans="1:2" x14ac:dyDescent="0.2">
      <c r="A75" s="71" t="s">
        <v>94</v>
      </c>
      <c r="B75" s="71">
        <v>1.1968000000000001</v>
      </c>
    </row>
    <row r="76" spans="1:2" ht="12.75" customHeight="1" x14ac:dyDescent="0.2">
      <c r="A76" s="71" t="s">
        <v>95</v>
      </c>
      <c r="B76" s="71">
        <v>7.9808000000000003</v>
      </c>
    </row>
    <row r="77" spans="1:2" x14ac:dyDescent="0.2">
      <c r="A77" s="71" t="s">
        <v>96</v>
      </c>
      <c r="B77" s="71">
        <v>1.3167</v>
      </c>
    </row>
    <row r="78" spans="1:2" x14ac:dyDescent="0.2">
      <c r="A78" s="71" t="s">
        <v>97</v>
      </c>
      <c r="B78" s="71">
        <v>1.3712</v>
      </c>
    </row>
    <row r="79" spans="1:2" x14ac:dyDescent="0.2">
      <c r="A79" s="71" t="s">
        <v>98</v>
      </c>
      <c r="B79" s="71">
        <v>1.4160999999999999</v>
      </c>
    </row>
    <row r="80" spans="1:2" x14ac:dyDescent="0.2">
      <c r="A80" s="71" t="s">
        <v>99</v>
      </c>
      <c r="B80" s="71">
        <v>1.7315</v>
      </c>
    </row>
    <row r="81" spans="1:2" x14ac:dyDescent="0.2">
      <c r="A81" s="71" t="s">
        <v>100</v>
      </c>
      <c r="B81" s="71">
        <v>2.9916</v>
      </c>
    </row>
    <row r="82" spans="1:2" x14ac:dyDescent="0.2">
      <c r="A82" s="71" t="s">
        <v>101</v>
      </c>
      <c r="B82" s="71">
        <v>3.2915000000000001</v>
      </c>
    </row>
    <row r="83" spans="1:2" x14ac:dyDescent="0.2">
      <c r="A83" s="71" t="s">
        <v>102</v>
      </c>
      <c r="B83" s="71">
        <v>3.5914999999999999</v>
      </c>
    </row>
    <row r="84" spans="1:2" x14ac:dyDescent="0.2">
      <c r="A84" s="71" t="s">
        <v>103</v>
      </c>
      <c r="B84" s="71">
        <v>3.4249000000000001</v>
      </c>
    </row>
    <row r="85" spans="1:2" x14ac:dyDescent="0.2">
      <c r="A85" s="71" t="s">
        <v>104</v>
      </c>
      <c r="B85" s="71">
        <v>3.4565000000000001</v>
      </c>
    </row>
    <row r="86" spans="1:2" x14ac:dyDescent="0.2">
      <c r="A86" s="71" t="s">
        <v>105</v>
      </c>
      <c r="B86" s="71">
        <v>3.5293000000000001</v>
      </c>
    </row>
    <row r="87" spans="1:2" x14ac:dyDescent="0.2">
      <c r="A87" s="71" t="s">
        <v>106</v>
      </c>
      <c r="B87" s="71">
        <v>3.5390999999999999</v>
      </c>
    </row>
    <row r="88" spans="1:2" x14ac:dyDescent="0.2">
      <c r="A88" s="71" t="s">
        <v>107</v>
      </c>
      <c r="B88" s="71">
        <v>3.6844000000000001</v>
      </c>
    </row>
    <row r="89" spans="1:2" x14ac:dyDescent="0.2">
      <c r="A89" s="71" t="s">
        <v>108</v>
      </c>
      <c r="B89" s="71">
        <v>4.8685999999999998</v>
      </c>
    </row>
    <row r="90" spans="1:2" x14ac:dyDescent="0.2">
      <c r="A90" s="71" t="s">
        <v>109</v>
      </c>
      <c r="B90" s="71">
        <v>3.7738999999999998</v>
      </c>
    </row>
    <row r="91" spans="1:2" x14ac:dyDescent="0.2">
      <c r="A91" s="71" t="s">
        <v>110</v>
      </c>
      <c r="B91" s="71">
        <v>4.6303999999999998</v>
      </c>
    </row>
    <row r="92" spans="1:2" x14ac:dyDescent="0.2">
      <c r="A92" s="71" t="s">
        <v>111</v>
      </c>
      <c r="B92" s="71">
        <v>0.14960000000000001</v>
      </c>
    </row>
    <row r="93" spans="1:2" x14ac:dyDescent="0.2">
      <c r="A93" s="71" t="s">
        <v>112</v>
      </c>
      <c r="B93" s="71">
        <v>1.4431</v>
      </c>
    </row>
    <row r="94" spans="1:2" x14ac:dyDescent="0.2">
      <c r="A94" s="71" t="s">
        <v>113</v>
      </c>
      <c r="B94" s="71">
        <v>99.771199999999993</v>
      </c>
    </row>
    <row r="95" spans="1:2" x14ac:dyDescent="0.2">
      <c r="A95" s="71" t="s">
        <v>114</v>
      </c>
      <c r="B95" s="71">
        <v>112.8892</v>
      </c>
    </row>
    <row r="96" spans="1:2" x14ac:dyDescent="0.2">
      <c r="A96" s="71" t="s">
        <v>115</v>
      </c>
      <c r="B96" s="71">
        <v>113.0818</v>
      </c>
    </row>
    <row r="97" spans="1:2" x14ac:dyDescent="0.2">
      <c r="A97" s="71" t="s">
        <v>116</v>
      </c>
      <c r="B97" s="71">
        <v>1.8759999999999999</v>
      </c>
    </row>
    <row r="98" spans="1:2" x14ac:dyDescent="0.2">
      <c r="A98" s="71" t="s">
        <v>117</v>
      </c>
      <c r="B98" s="71">
        <v>1.9742999999999999</v>
      </c>
    </row>
    <row r="99" spans="1:2" x14ac:dyDescent="0.2">
      <c r="A99" s="71" t="s">
        <v>118</v>
      </c>
      <c r="B99" s="71">
        <v>3.9504000000000001</v>
      </c>
    </row>
    <row r="100" spans="1:2" x14ac:dyDescent="0.2">
      <c r="A100" s="71" t="s">
        <v>119</v>
      </c>
      <c r="B100" s="71">
        <v>4.5296000000000003</v>
      </c>
    </row>
    <row r="101" spans="1:2" x14ac:dyDescent="0.2">
      <c r="A101" s="71" t="s">
        <v>120</v>
      </c>
      <c r="B101" s="71">
        <v>4.7154999999999996</v>
      </c>
    </row>
    <row r="102" spans="1:2" x14ac:dyDescent="0.2">
      <c r="A102" s="71" t="s">
        <v>121</v>
      </c>
      <c r="B102" s="71">
        <v>2.0204</v>
      </c>
    </row>
    <row r="103" spans="1:2" x14ac:dyDescent="0.2">
      <c r="A103" s="71" t="s">
        <v>122</v>
      </c>
      <c r="B103" s="71">
        <v>2.0388999999999999</v>
      </c>
    </row>
    <row r="104" spans="1:2" x14ac:dyDescent="0.2">
      <c r="A104" s="71" t="s">
        <v>123</v>
      </c>
      <c r="B104" s="71">
        <v>2.0773000000000001</v>
      </c>
    </row>
    <row r="105" spans="1:2" x14ac:dyDescent="0.2">
      <c r="A105" s="71" t="s">
        <v>124</v>
      </c>
      <c r="B105" s="71">
        <v>2.1646999999999998</v>
      </c>
    </row>
    <row r="106" spans="1:2" x14ac:dyDescent="0.2">
      <c r="A106" s="71" t="s">
        <v>125</v>
      </c>
      <c r="B106" s="71">
        <v>5.7525000000000004</v>
      </c>
    </row>
    <row r="107" spans="1:2" x14ac:dyDescent="0.2">
      <c r="A107" s="71" t="s">
        <v>126</v>
      </c>
      <c r="B107" s="71">
        <v>5.4424999999999999</v>
      </c>
    </row>
    <row r="108" spans="1:2" x14ac:dyDescent="0.2">
      <c r="A108" s="71" t="s">
        <v>127</v>
      </c>
      <c r="B108" s="71">
        <v>6.1883999999999997</v>
      </c>
    </row>
    <row r="109" spans="1:2" x14ac:dyDescent="0.2">
      <c r="A109" s="71" t="s">
        <v>128</v>
      </c>
      <c r="B109" s="71">
        <v>7.7938000000000001</v>
      </c>
    </row>
    <row r="110" spans="1:2" x14ac:dyDescent="0.2">
      <c r="A110" s="71" t="s">
        <v>129</v>
      </c>
      <c r="B110" s="71">
        <v>8.8567</v>
      </c>
    </row>
    <row r="111" spans="1:2" x14ac:dyDescent="0.2">
      <c r="A111" s="71" t="s">
        <v>130</v>
      </c>
      <c r="B111" s="71">
        <v>2.6267999999999998</v>
      </c>
    </row>
    <row r="112" spans="1:2" x14ac:dyDescent="0.2">
      <c r="A112" s="71" t="s">
        <v>131</v>
      </c>
      <c r="B112" s="71">
        <v>2.6747999999999998</v>
      </c>
    </row>
  </sheetData>
  <mergeCells count="8">
    <mergeCell ref="G1:L1"/>
    <mergeCell ref="A36:E36"/>
    <mergeCell ref="A1:E1"/>
    <mergeCell ref="A2:E2"/>
    <mergeCell ref="A6:E6"/>
    <mergeCell ref="A13:E13"/>
    <mergeCell ref="A19:E19"/>
    <mergeCell ref="A30:E3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A57B23-A72E-410F-B4A7-3BBAC29B2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1C3E9F-6D3A-41B8-89B9-0EC4E7F592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EDABA-1337-4545-8F91-4317D9EA1A34}">
  <ds:schemaRefs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b7bfb68b-a3bb-4a28-a4e0-f34ef2d57dd6"/>
    <ds:schemaRef ds:uri="3ed7015c-3088-4573-a2b5-1c16df166e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Price Calculator</vt:lpstr>
      <vt:lpstr>Beer Classifications</vt:lpstr>
      <vt:lpstr>Rates</vt:lpstr>
      <vt:lpstr>Type</vt:lpstr>
    </vt:vector>
  </TitlesOfParts>
  <Manager/>
  <Company>Manitoba Liquor &amp; Lotteries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Figler</dc:creator>
  <cp:keywords/>
  <dc:description/>
  <cp:lastModifiedBy>Jocelyn Santiago</cp:lastModifiedBy>
  <cp:revision/>
  <dcterms:created xsi:type="dcterms:W3CDTF">2016-01-19T20:55:36Z</dcterms:created>
  <dcterms:modified xsi:type="dcterms:W3CDTF">2020-11-26T15:25:47Z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